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992" windowHeight="9288" activeTab="2"/>
  </bookViews>
  <sheets>
    <sheet name="ნაკრები" sheetId="5" r:id="rId1"/>
    <sheet name="N1-1 insp_ტექნოლოგიური ნაწილი" sheetId="8" r:id="rId2"/>
    <sheet name="N1-2_რკინა-ბეტონის სამუშაოები" sheetId="9" r:id="rId3"/>
  </sheets>
  <definedNames>
    <definedName name="_xlnm.Print_Area" localSheetId="0">ნაკრები!$A$1:$H$14</definedName>
    <definedName name="_xlnm.Print_Titles" localSheetId="0">ნაკრები!$3:$6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1" i="9" l="1"/>
  <c r="M41" i="9" s="1"/>
  <c r="F49" i="9"/>
  <c r="E32" i="9"/>
  <c r="F32" i="9" s="1"/>
  <c r="H32" i="9" s="1"/>
  <c r="M32" i="9" s="1"/>
  <c r="E31" i="9"/>
  <c r="F31" i="9" s="1"/>
  <c r="H31" i="9" s="1"/>
  <c r="M31" i="9" s="1"/>
  <c r="E29" i="9"/>
  <c r="F29" i="9" s="1"/>
  <c r="L29" i="9" s="1"/>
  <c r="M29" i="9" s="1"/>
  <c r="E28" i="9"/>
  <c r="F28" i="9" s="1"/>
  <c r="J28" i="9" s="1"/>
  <c r="M28" i="9" s="1"/>
  <c r="F85" i="8" l="1"/>
  <c r="F67" i="8"/>
  <c r="H65" i="8"/>
  <c r="M65" i="8" s="1"/>
  <c r="F61" i="8"/>
  <c r="F62" i="8" s="1"/>
  <c r="J62" i="8" s="1"/>
  <c r="M62" i="8" s="1"/>
  <c r="F55" i="8"/>
  <c r="E47" i="8"/>
  <c r="F47" i="8" s="1"/>
  <c r="H47" i="8" s="1"/>
  <c r="M47" i="8" s="1"/>
  <c r="E46" i="8"/>
  <c r="F46" i="8" s="1"/>
  <c r="H46" i="8" s="1"/>
  <c r="M46" i="8" s="1"/>
  <c r="E44" i="8"/>
  <c r="F44" i="8" s="1"/>
  <c r="L44" i="8" s="1"/>
  <c r="M44" i="8" s="1"/>
  <c r="E43" i="8"/>
  <c r="F43" i="8" s="1"/>
  <c r="J43" i="8" s="1"/>
  <c r="M43" i="8" s="1"/>
  <c r="F35" i="8"/>
  <c r="H35" i="8" s="1"/>
  <c r="M35" i="8" s="1"/>
  <c r="F34" i="8"/>
  <c r="H34" i="8" s="1"/>
  <c r="M34" i="8" s="1"/>
  <c r="F32" i="8"/>
  <c r="L32" i="8" s="1"/>
  <c r="M32" i="8" s="1"/>
  <c r="F31" i="8"/>
  <c r="J31" i="8" s="1"/>
  <c r="M31" i="8" s="1"/>
  <c r="E22" i="8"/>
  <c r="F21" i="8"/>
  <c r="E20" i="8"/>
  <c r="E18" i="8"/>
  <c r="E17" i="8"/>
  <c r="F17" i="8" s="1"/>
  <c r="F19" i="8"/>
  <c r="L19" i="8" s="1"/>
  <c r="M19" i="8" s="1"/>
  <c r="F20" i="8"/>
  <c r="L20" i="8" s="1"/>
  <c r="M20" i="8" s="1"/>
  <c r="E12" i="8"/>
  <c r="F12" i="8" s="1"/>
  <c r="L12" i="8" s="1"/>
  <c r="M12" i="8" s="1"/>
  <c r="E11" i="8"/>
  <c r="F11" i="8" s="1"/>
  <c r="J11" i="8" s="1"/>
  <c r="M11" i="8" s="1"/>
  <c r="E10" i="8"/>
  <c r="F10" i="8" s="1"/>
  <c r="J10" i="8" s="1"/>
  <c r="M10" i="8" s="1"/>
  <c r="E15" i="8"/>
  <c r="F15" i="8" s="1"/>
  <c r="L15" i="8" s="1"/>
  <c r="M15" i="8" s="1"/>
  <c r="E14" i="8"/>
  <c r="F14" i="8" s="1"/>
  <c r="J14" i="8" s="1"/>
  <c r="M14" i="8" s="1"/>
  <c r="F66" i="8" l="1"/>
  <c r="H66" i="8" s="1"/>
  <c r="M66" i="8" s="1"/>
  <c r="F63" i="8"/>
  <c r="L63" i="8" s="1"/>
  <c r="M63" i="8" s="1"/>
  <c r="J17" i="8"/>
  <c r="M17" i="8" s="1"/>
  <c r="F18" i="8"/>
  <c r="J18" i="8" s="1"/>
  <c r="M18" i="8" s="1"/>
  <c r="F48" i="9" l="1"/>
  <c r="H48" i="9" s="1"/>
  <c r="M48" i="9" s="1"/>
  <c r="E47" i="9"/>
  <c r="F46" i="9"/>
  <c r="H46" i="9" s="1"/>
  <c r="M46" i="9" s="1"/>
  <c r="F44" i="9"/>
  <c r="J44" i="9" s="1"/>
  <c r="M44" i="9" s="1"/>
  <c r="H53" i="9"/>
  <c r="M53" i="9" s="1"/>
  <c r="F51" i="9"/>
  <c r="L51" i="9" s="1"/>
  <c r="M51" i="9" s="1"/>
  <c r="F47" i="9" l="1"/>
  <c r="H47" i="9" s="1"/>
  <c r="M47" i="9" s="1"/>
  <c r="F50" i="9"/>
  <c r="J50" i="9" s="1"/>
  <c r="M50" i="9" s="1"/>
  <c r="F54" i="9"/>
  <c r="H54" i="9" s="1"/>
  <c r="M54" i="9" s="1"/>
  <c r="E26" i="9" l="1"/>
  <c r="F26" i="9" s="1"/>
  <c r="H26" i="9" s="1"/>
  <c r="M26" i="9" s="1"/>
  <c r="E25" i="9"/>
  <c r="F25" i="9" s="1"/>
  <c r="H25" i="9" s="1"/>
  <c r="M25" i="9" s="1"/>
  <c r="E24" i="9"/>
  <c r="F24" i="9" s="1"/>
  <c r="H24" i="9" s="1"/>
  <c r="M24" i="9" s="1"/>
  <c r="E22" i="9"/>
  <c r="F22" i="9" s="1"/>
  <c r="L22" i="9" s="1"/>
  <c r="M22" i="9" s="1"/>
  <c r="E21" i="9"/>
  <c r="F21" i="9" s="1"/>
  <c r="J21" i="9" s="1"/>
  <c r="M21" i="9" s="1"/>
  <c r="F19" i="9"/>
  <c r="H19" i="9" s="1"/>
  <c r="M19" i="9" s="1"/>
  <c r="F18" i="9"/>
  <c r="H18" i="9" s="1"/>
  <c r="M18" i="9" s="1"/>
  <c r="F16" i="9"/>
  <c r="L16" i="9" s="1"/>
  <c r="M16" i="9" s="1"/>
  <c r="E15" i="9"/>
  <c r="F15" i="9" s="1"/>
  <c r="L15" i="9" s="1"/>
  <c r="M15" i="9" s="1"/>
  <c r="E14" i="9"/>
  <c r="F14" i="9" s="1"/>
  <c r="J14" i="9" s="1"/>
  <c r="M14" i="9" s="1"/>
  <c r="F94" i="8" l="1"/>
  <c r="H94" i="8" s="1"/>
  <c r="M94" i="8" s="1"/>
  <c r="F92" i="8"/>
  <c r="J92" i="8" s="1"/>
  <c r="M92" i="8" s="1"/>
  <c r="F90" i="8" l="1"/>
  <c r="H90" i="8" s="1"/>
  <c r="M90" i="8" s="1"/>
  <c r="H89" i="8"/>
  <c r="M89" i="8" s="1"/>
  <c r="F84" i="8"/>
  <c r="H84" i="8" s="1"/>
  <c r="M84" i="8" s="1"/>
  <c r="F83" i="8"/>
  <c r="H83" i="8" s="1"/>
  <c r="M83" i="8" s="1"/>
  <c r="F81" i="8"/>
  <c r="L81" i="8" s="1"/>
  <c r="M81" i="8" s="1"/>
  <c r="F80" i="8"/>
  <c r="J80" i="8" s="1"/>
  <c r="M80" i="8" s="1"/>
  <c r="F78" i="8"/>
  <c r="H78" i="8" s="1"/>
  <c r="M78" i="8" s="1"/>
  <c r="F77" i="8"/>
  <c r="H77" i="8" s="1"/>
  <c r="M77" i="8" s="1"/>
  <c r="F75" i="8"/>
  <c r="L75" i="8" s="1"/>
  <c r="M75" i="8" s="1"/>
  <c r="F74" i="8"/>
  <c r="J74" i="8" s="1"/>
  <c r="M74" i="8" s="1"/>
  <c r="F72" i="8"/>
  <c r="H72" i="8" s="1"/>
  <c r="M72" i="8" s="1"/>
  <c r="H71" i="8"/>
  <c r="M71" i="8" s="1"/>
  <c r="F87" i="8" l="1"/>
  <c r="L87" i="8" s="1"/>
  <c r="M87" i="8" s="1"/>
  <c r="F86" i="8"/>
  <c r="J86" i="8" s="1"/>
  <c r="M86" i="8" s="1"/>
  <c r="F69" i="8"/>
  <c r="L69" i="8" s="1"/>
  <c r="M69" i="8" s="1"/>
  <c r="F68" i="8"/>
  <c r="J68" i="8" s="1"/>
  <c r="M68" i="8" s="1"/>
  <c r="H59" i="8" l="1"/>
  <c r="M59" i="8" s="1"/>
  <c r="F56" i="8"/>
  <c r="J56" i="8" s="1"/>
  <c r="M56" i="8" s="1"/>
  <c r="F57" i="8"/>
  <c r="L57" i="8" s="1"/>
  <c r="M57" i="8" s="1"/>
  <c r="E54" i="8"/>
  <c r="F54" i="8" s="1"/>
  <c r="H54" i="8" s="1"/>
  <c r="M54" i="8" s="1"/>
  <c r="E53" i="8"/>
  <c r="F53" i="8" s="1"/>
  <c r="H53" i="8" s="1"/>
  <c r="M53" i="8" s="1"/>
  <c r="F52" i="8"/>
  <c r="H52" i="8" s="1"/>
  <c r="M52" i="8" s="1"/>
  <c r="E50" i="8"/>
  <c r="F50" i="8" s="1"/>
  <c r="J50" i="8" s="1"/>
  <c r="M50" i="8" s="1"/>
  <c r="E49" i="8"/>
  <c r="F49" i="8" s="1"/>
  <c r="J49" i="8" s="1"/>
  <c r="M49" i="8" s="1"/>
  <c r="E41" i="8"/>
  <c r="F41" i="8" s="1"/>
  <c r="H41" i="8" s="1"/>
  <c r="M41" i="8" s="1"/>
  <c r="E40" i="8"/>
  <c r="F40" i="8" s="1"/>
  <c r="H40" i="8" s="1"/>
  <c r="M40" i="8" s="1"/>
  <c r="E38" i="8"/>
  <c r="F38" i="8" s="1"/>
  <c r="L38" i="8" s="1"/>
  <c r="M38" i="8" s="1"/>
  <c r="E37" i="8"/>
  <c r="F37" i="8" s="1"/>
  <c r="J37" i="8" s="1"/>
  <c r="M37" i="8" s="1"/>
  <c r="F60" i="8" l="1"/>
  <c r="H60" i="8" s="1"/>
  <c r="M60" i="8" s="1"/>
  <c r="F29" i="8" l="1"/>
  <c r="H29" i="8" s="1"/>
  <c r="M29" i="8" s="1"/>
  <c r="F25" i="8"/>
  <c r="J25" i="8" s="1"/>
  <c r="M25" i="8" s="1"/>
  <c r="F26" i="8"/>
  <c r="L26" i="8" s="1"/>
  <c r="M26" i="8" s="1"/>
  <c r="F28" i="8" l="1"/>
  <c r="H28" i="8" s="1"/>
  <c r="H95" i="8" s="1"/>
  <c r="M28" i="8" l="1"/>
  <c r="E59" i="9"/>
  <c r="F59" i="9" s="1"/>
  <c r="H59" i="9" s="1"/>
  <c r="M59" i="9" s="1"/>
  <c r="E58" i="9"/>
  <c r="F58" i="9" s="1"/>
  <c r="L58" i="9" s="1"/>
  <c r="M58" i="9" s="1"/>
  <c r="E57" i="9"/>
  <c r="F57" i="9" s="1"/>
  <c r="L57" i="9" s="1"/>
  <c r="M57" i="9" s="1"/>
  <c r="E56" i="9"/>
  <c r="F56" i="9" s="1"/>
  <c r="J56" i="9" s="1"/>
  <c r="M56" i="9" s="1"/>
  <c r="E38" i="9"/>
  <c r="F38" i="9" s="1"/>
  <c r="H38" i="9" s="1"/>
  <c r="M38" i="9" s="1"/>
  <c r="E10" i="9"/>
  <c r="F10" i="9" s="1"/>
  <c r="L10" i="9" s="1"/>
  <c r="M10" i="9" s="1"/>
  <c r="E9" i="9"/>
  <c r="F9" i="9" s="1"/>
  <c r="J9" i="9" s="1"/>
  <c r="M9" i="9" s="1"/>
  <c r="H37" i="9"/>
  <c r="M37" i="9" s="1"/>
  <c r="E42" i="9"/>
  <c r="F42" i="9" s="1"/>
  <c r="H42" i="9" s="1"/>
  <c r="M42" i="9" s="1"/>
  <c r="E40" i="9"/>
  <c r="F40" i="9" s="1"/>
  <c r="H40" i="9" s="1"/>
  <c r="M40" i="9" s="1"/>
  <c r="E39" i="9"/>
  <c r="F39" i="9" s="1"/>
  <c r="H39" i="9" s="1"/>
  <c r="M39" i="9" s="1"/>
  <c r="E36" i="9"/>
  <c r="F36" i="9" s="1"/>
  <c r="H36" i="9" s="1"/>
  <c r="M36" i="9" s="1"/>
  <c r="E35" i="9"/>
  <c r="F35" i="9" s="1"/>
  <c r="L35" i="9" s="1"/>
  <c r="M35" i="9" s="1"/>
  <c r="E34" i="9"/>
  <c r="F34" i="9" s="1"/>
  <c r="J34" i="9" s="1"/>
  <c r="M34" i="9" s="1"/>
  <c r="H60" i="9" l="1"/>
  <c r="L60" i="9"/>
  <c r="F12" i="9" l="1"/>
  <c r="J12" i="9" s="1"/>
  <c r="M12" i="9" l="1"/>
  <c r="M60" i="9" s="1"/>
  <c r="J60" i="9"/>
  <c r="H61" i="9" l="1"/>
  <c r="M61" i="9" s="1"/>
  <c r="M62" i="9" l="1"/>
  <c r="D8" i="5" l="1"/>
  <c r="H8" i="5" s="1"/>
  <c r="F23" i="8"/>
  <c r="L23" i="8" s="1"/>
  <c r="F22" i="8"/>
  <c r="J22" i="8" s="1"/>
  <c r="M22" i="8" l="1"/>
  <c r="M95" i="8" s="1"/>
  <c r="J95" i="8"/>
  <c r="G12" i="5" s="1"/>
  <c r="M23" i="8"/>
  <c r="L95" i="8"/>
  <c r="H96" i="8"/>
  <c r="M96" i="8" s="1"/>
  <c r="M97" i="8" l="1"/>
  <c r="D7" i="5" s="1"/>
  <c r="D9" i="5" l="1"/>
  <c r="H12" i="5" l="1"/>
  <c r="D11" i="5" l="1"/>
  <c r="H7" i="5"/>
  <c r="H9" i="5" s="1"/>
  <c r="D13" i="5" l="1"/>
  <c r="G10" i="5"/>
  <c r="G11" i="5" s="1"/>
  <c r="G13" i="5" s="1"/>
  <c r="H10" i="5" l="1"/>
  <c r="H11" i="5" s="1"/>
  <c r="H13" i="5" s="1"/>
</calcChain>
</file>

<file path=xl/sharedStrings.xml><?xml version="1.0" encoding="utf-8"?>
<sst xmlns="http://schemas.openxmlformats.org/spreadsheetml/2006/main" count="375" uniqueCount="159">
  <si>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</si>
  <si>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</si>
  <si>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</si>
  <si>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</si>
  <si>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</si>
  <si>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</si>
  <si>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</si>
  <si>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</si>
  <si>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</si>
  <si>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</si>
  <si>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</si>
  <si>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</si>
  <si>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</si>
  <si>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</si>
  <si>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r>
      <t>მ</t>
    </r>
    <r>
      <rPr>
        <vertAlign val="superscript"/>
        <sz val="12"/>
        <rFont val="Sylfaen"/>
        <family val="1"/>
      </rPr>
      <t>3</t>
    </r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</si>
  <si>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</si>
  <si>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</si>
  <si>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</si>
  <si>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</si>
  <si>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</si>
  <si>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</si>
  <si>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</si>
  <si>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</si>
  <si>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</si>
  <si>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</si>
  <si>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</si>
  <si>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</si>
  <si>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სულ</t>
  </si>
  <si>
    <t>ხარჯთაღრიცხვა N1-1</t>
  </si>
  <si>
    <t xml:space="preserve"> N</t>
  </si>
  <si>
    <t>ხარჯთაღიცხვის N</t>
  </si>
  <si>
    <t>ხარჯთაღიცხვის დასახელება</t>
  </si>
  <si>
    <t>სამშენებლო სამუშაოები</t>
  </si>
  <si>
    <t xml:space="preserve">სამონტაჟო სამუშაოები </t>
  </si>
  <si>
    <t>მოწყობილობა</t>
  </si>
  <si>
    <t>სხვადასხვა ხარჯები</t>
  </si>
  <si>
    <t>გაუთვალისწინებელი ხარჯები 3%</t>
  </si>
  <si>
    <t>დაგროვილი საპენსიო გადასახადი (ხელფასიდან) 2%</t>
  </si>
  <si>
    <t>ც</t>
  </si>
  <si>
    <t xml:space="preserve">      სახარჯთაღრიცხვო ღირებულება (ლარი)</t>
  </si>
  <si>
    <t>საბ. ფასი</t>
  </si>
  <si>
    <t>ცალი</t>
  </si>
  <si>
    <t>22-22-5</t>
  </si>
  <si>
    <t>6</t>
  </si>
  <si>
    <t>1</t>
  </si>
  <si>
    <t>1-24-3.</t>
  </si>
  <si>
    <r>
      <t>m</t>
    </r>
    <r>
      <rPr>
        <vertAlign val="superscript"/>
        <sz val="12"/>
        <color indexed="8"/>
        <rFont val="AcadNusx"/>
      </rPr>
      <t>3</t>
    </r>
  </si>
  <si>
    <t>დარჩენილი გრუნტის ადგილზე მოსწორება</t>
  </si>
  <si>
    <t>§ Е2-1-57</t>
  </si>
  <si>
    <t>მ3</t>
  </si>
  <si>
    <t>3</t>
  </si>
  <si>
    <t>მანქ/სთ</t>
  </si>
  <si>
    <t>სრფ. 5.1-128</t>
  </si>
  <si>
    <r>
      <t>მ</t>
    </r>
    <r>
      <rPr>
        <vertAlign val="superscript"/>
        <sz val="12"/>
        <rFont val="Sylfaen"/>
        <family val="1"/>
      </rPr>
      <t>2</t>
    </r>
  </si>
  <si>
    <t>კგ</t>
  </si>
  <si>
    <t>ჯამი:</t>
  </si>
  <si>
    <t>სატრანსპორტო ხარჯები 5%</t>
  </si>
  <si>
    <t>6-26-1</t>
  </si>
  <si>
    <t xml:space="preserve">შრომატევადობა  </t>
  </si>
  <si>
    <t>სრფ.                                            4.1-349</t>
  </si>
  <si>
    <t>სრფ.                                           5.1-14</t>
  </si>
  <si>
    <t>ფიცარი  ჩამოგანული III ხ.  25-32 მმ</t>
  </si>
  <si>
    <t>სრფ.                                           5.1-17</t>
  </si>
  <si>
    <t>ფიცარი  ჩამოგანული III ხ.  40 მმ</t>
  </si>
  <si>
    <t>სრფ. 1.1-3</t>
  </si>
  <si>
    <t>1-11-16</t>
  </si>
  <si>
    <t>IV კატ. გრუნტის დამუშავება ექსკავატორით ჩამჩის მოცულობით 0.5 მ3  გვერდზე დაყრით</t>
  </si>
  <si>
    <t>სრფ 13-118</t>
  </si>
  <si>
    <t>ექსკავატორი ჩამჩის ტევადობით 0,5 მ3</t>
  </si>
  <si>
    <t>8-3-2                                                     1-118-11</t>
  </si>
  <si>
    <t>შრომის დანახარჯი</t>
  </si>
  <si>
    <t>სრფ. 13-213</t>
  </si>
  <si>
    <t>პნევმატური სატკეპნი</t>
  </si>
  <si>
    <t>სრფ 4.1-240</t>
  </si>
  <si>
    <t>ხრეში ფრაქცია  0-56</t>
  </si>
  <si>
    <t>საყალიბე ფარი 25 მმ</t>
  </si>
  <si>
    <t>1-22-15</t>
  </si>
  <si>
    <t xml:space="preserve">ღორღი </t>
  </si>
  <si>
    <t xml:space="preserve">დარჩენილი ამოღებული მდინარის ბალასტის უკუჩაყრა  ექსკავატორით ჩამჩის მოცულობით 0.5 მ3 </t>
  </si>
  <si>
    <t>ხარჯთაღრიცხვა N1-2</t>
  </si>
  <si>
    <t>რკინა-ბეტონის სამუშაოები</t>
  </si>
  <si>
    <t>ხარჯთაღრიცხვა N 1-2 რკინა-ბეტონის სამუშაოები</t>
  </si>
  <si>
    <t>ხარჯთაღრიცხვა N 1-1 ტექნოლოგიური ნაწილი</t>
  </si>
  <si>
    <t>ტექნოლოგიური ნაწილი</t>
  </si>
  <si>
    <t>8-3-2</t>
  </si>
  <si>
    <t xml:space="preserve">  22-5-4</t>
  </si>
  <si>
    <t xml:space="preserve">ფოლადის მილი d=100/6 მმ </t>
  </si>
  <si>
    <t>22-11-1</t>
  </si>
  <si>
    <t>m</t>
  </si>
  <si>
    <t>m3</t>
  </si>
  <si>
    <t>22-24-3</t>
  </si>
  <si>
    <t>22-29-3</t>
  </si>
  <si>
    <t xml:space="preserve">8-4-7            </t>
  </si>
  <si>
    <t>ჭის  გარე ზედაპირის ჰიდროიზოლაცია ბიტუმ-ზეთოვანი მასტიკით 2 ფენად</t>
  </si>
  <si>
    <t>სრფ. 4.1-521</t>
  </si>
  <si>
    <t xml:space="preserve">ბიტუმ-ზეთოვანი </t>
  </si>
  <si>
    <t>ჩობალი დ=114 მმ</t>
  </si>
  <si>
    <t>23-22-1</t>
  </si>
  <si>
    <t>ადგ.</t>
  </si>
  <si>
    <t>სრფ. 4.1-364</t>
  </si>
  <si>
    <t xml:space="preserve">ქვიშა-ცემენტის ხსნარი M-100 </t>
  </si>
  <si>
    <t>სრფ. 4.1-445</t>
  </si>
  <si>
    <t xml:space="preserve">ქვიშა-ცემენტის ხსნარზე წყალშეუღწევადი დანამატი W8 </t>
  </si>
  <si>
    <t>1-210-1</t>
  </si>
  <si>
    <t>გრუნტის დამუშავება ხელით გვერძე დაყრით</t>
  </si>
  <si>
    <t xml:space="preserve">საძირკვლის ქვეშ ხრეშის  ბალიშის მოწყობა  პერიოდული დატკეპნით </t>
  </si>
  <si>
    <t>6-28-8</t>
  </si>
  <si>
    <t xml:space="preserve"> ბეტონის მომზადების მოწყობა ფილის ქვეშ , ბეტონის მარკა                                                  M-100, B-7.5 </t>
  </si>
  <si>
    <t>სრფ. 4.1-344</t>
  </si>
  <si>
    <t>ბეტონი M-100;     B-7.5</t>
  </si>
  <si>
    <t>სრფ. 4.1-17</t>
  </si>
  <si>
    <t>ფიცარი ჩამოგანული III ხ. 40 სმ</t>
  </si>
  <si>
    <t xml:space="preserve">არმატურა   A500C/A240C  კლასის  </t>
  </si>
  <si>
    <t>9</t>
  </si>
  <si>
    <t>qalaqi ambrolauris municipaliteti, sofeli bugeulis wyalsadenis saTave nagebobis (mdebare znakuras xevSi) filtratis Wis da wyalsadenis qselis mowyobis proeqti</t>
  </si>
  <si>
    <t xml:space="preserve">1-170-3       </t>
  </si>
  <si>
    <t>1-17-17</t>
  </si>
  <si>
    <t>მ2</t>
  </si>
  <si>
    <t xml:space="preserve">ჭის ქვეშ ხრეშის (ფრაქცია 0-56 მმ)  ბალიშის მოწყობა 40 სმ </t>
  </si>
  <si>
    <t>ხრეში (ფრაქცია 0-56 მმ)</t>
  </si>
  <si>
    <t>5</t>
  </si>
  <si>
    <t xml:space="preserve">ფილტრატის ქვაბულის შევსება ჭის ხრეშის (ფრაქცია 40-70 მმ) </t>
  </si>
  <si>
    <t>ხრეში (ფრაქცია 40-70 მმ)</t>
  </si>
  <si>
    <t>22-8-5.</t>
  </si>
  <si>
    <r>
      <t xml:space="preserve">პოლ. პერფორირებული გოფრირებული მილის შეძენა-მოწყობა </t>
    </r>
    <r>
      <rPr>
        <sz val="12"/>
        <rFont val="Arial"/>
        <family val="2"/>
        <charset val="204"/>
      </rPr>
      <t>SN 8 d=200</t>
    </r>
    <r>
      <rPr>
        <sz val="12"/>
        <rFont val="AcadNusx"/>
      </rPr>
      <t xml:space="preserve"> mm,</t>
    </r>
  </si>
  <si>
    <r>
      <t xml:space="preserve">პოლ. პერფორირებული გოფრირებული მილი </t>
    </r>
    <r>
      <rPr>
        <sz val="12"/>
        <rFont val="Arial"/>
        <family val="2"/>
        <charset val="204"/>
      </rPr>
      <t>SN 8 d=200</t>
    </r>
    <r>
      <rPr>
        <sz val="12"/>
        <rFont val="AcadNusx"/>
      </rPr>
      <t xml:space="preserve"> mm</t>
    </r>
  </si>
  <si>
    <t xml:space="preserve">ფოლადის სწორნაკერიანი ქარხნული იზოლაციით  d=100/6 მმ   მილის   შეძენა, მონტაჟი </t>
  </si>
  <si>
    <r>
      <t>ფოლადის მუხლის  შეძენა და მოწყობა d=100/6 მმ  90</t>
    </r>
    <r>
      <rPr>
        <vertAlign val="superscript"/>
        <sz val="12"/>
        <rFont val="Sylfaen"/>
        <family val="1"/>
      </rPr>
      <t xml:space="preserve">0  </t>
    </r>
    <r>
      <rPr>
        <sz val="12"/>
        <rFont val="Sylfaen"/>
        <family val="1"/>
        <charset val="204"/>
      </rPr>
      <t>(2 ცალი)</t>
    </r>
  </si>
  <si>
    <r>
      <t>ფოლადის მუხლი d=100/6 მმ   90</t>
    </r>
    <r>
      <rPr>
        <vertAlign val="superscript"/>
        <sz val="12"/>
        <rFont val="Sylfaen"/>
        <family val="1"/>
      </rPr>
      <t>0</t>
    </r>
  </si>
  <si>
    <r>
      <t>ფოლადის მუხლის  შეძენა და მოწყობა d=100/6 მმ  45</t>
    </r>
    <r>
      <rPr>
        <vertAlign val="superscript"/>
        <sz val="12"/>
        <rFont val="Sylfaen"/>
        <family val="1"/>
      </rPr>
      <t xml:space="preserve">0  </t>
    </r>
    <r>
      <rPr>
        <sz val="12"/>
        <rFont val="Sylfaen"/>
        <family val="1"/>
        <charset val="204"/>
      </rPr>
      <t>(2 ცალი)</t>
    </r>
  </si>
  <si>
    <r>
      <t>ფოლადის მუხლი d=100/6 მმ   45</t>
    </r>
    <r>
      <rPr>
        <vertAlign val="superscript"/>
        <sz val="12"/>
        <rFont val="Sylfaen"/>
        <family val="1"/>
      </rPr>
      <t>0</t>
    </r>
  </si>
  <si>
    <r>
      <t xml:space="preserve">ფოლადის სამკაპის  შეძენა და მოწყობა d=100/6 მმ  </t>
    </r>
    <r>
      <rPr>
        <vertAlign val="superscript"/>
        <sz val="12"/>
        <rFont val="Sylfaen"/>
        <family val="1"/>
      </rPr>
      <t xml:space="preserve">  </t>
    </r>
    <r>
      <rPr>
        <sz val="12"/>
        <rFont val="Sylfaen"/>
        <family val="1"/>
        <charset val="204"/>
      </rPr>
      <t>(1 ცალი)</t>
    </r>
  </si>
  <si>
    <t xml:space="preserve">ფოლადის სამკაპი d=100/6 მმ </t>
  </si>
  <si>
    <t>თუჯის ურდულის შეძენა და მონტაჟი d-100 მმ PN10</t>
  </si>
  <si>
    <t>თუჯის ურდული d=100 მმ PN10</t>
  </si>
  <si>
    <t>ფოლადის მილტუჩის  შეძენა და მოწყობა d=100 მმ</t>
  </si>
  <si>
    <t>ფოლადის მილტუჩი  d=100 მმ</t>
  </si>
  <si>
    <t>ჩობალის შეძენა და მოწყობა დ=165 მმ (2 ცალი)</t>
  </si>
  <si>
    <t>ჩობალი დ=165 მმ</t>
  </si>
  <si>
    <t>საპროექტო მილის შეჭრა არსებულ ფოლადის მილზე</t>
  </si>
  <si>
    <t>16</t>
  </si>
  <si>
    <t>ჭის მომოლითური რკ/ბეტონის ძირის ფილის, კედლების და გადახურვის ფილის მოწყობა. ბეტონი B-25, W-8, F-150 სისქით. არმატურა A500C/A240C</t>
  </si>
  <si>
    <t>ბეტონი B-25</t>
  </si>
  <si>
    <t>ჭის კედელში   d=114 მმ ფოლადის ჩობალის მოწყობა</t>
  </si>
  <si>
    <t xml:space="preserve">თუჯის ჩარჩო ხუფით  DIN400              </t>
  </si>
  <si>
    <t>7</t>
  </si>
  <si>
    <t>ჩობალის შეძენა და მოწყობა d=114 მმ (1 ცალი)</t>
  </si>
  <si>
    <t>V კატ. გრუნტის დამუშავება ექსკავატორით ჩამჩის მოცულობით 0.5 მ3 თხრილში ა/მ დატვირთვით</t>
  </si>
  <si>
    <t>ქალაქი ამბროლაურის მუნიციპალიტეტი, სოფელი ბუგეულის წყალსადენის სათავე ნაგებობის (მდებარე ზნაკურას ხევში) ფილტრატის ჭის და წყალსადენის ქსელის მოწყობის პროექტი</t>
  </si>
  <si>
    <t>მემანქანეების შრომის დანახარჯი</t>
  </si>
  <si>
    <t>მ/ს</t>
  </si>
  <si>
    <t>V კატ. კლდოვანი გრუნტის დამუშავება პნევმატური ჩაქუჩით</t>
  </si>
  <si>
    <t>პნევმატური ჩაქუჩი</t>
  </si>
  <si>
    <t xml:space="preserve">ტერიტორიის გასუფთავება ბუჩქნარისაგან (ამოძირკვა, გატანა და დაწვა) </t>
  </si>
  <si>
    <t>ამომძირკველი-მომგროვებელი ტრაქტორით 80 ცხ. ძ</t>
  </si>
  <si>
    <t>ბულდოზერი 80 ცხ. ძ</t>
  </si>
  <si>
    <r>
      <t>წყალსადენის პოლიეთილენის მილის შეძენა და მონტაჟი გარეცხვა-გამოცდით</t>
    </r>
    <r>
      <rPr>
        <sz val="12"/>
        <color indexed="8"/>
        <rFont val="Arial"/>
        <family val="2"/>
      </rPr>
      <t>PE 100 SDR 11 PN 16 d=63</t>
    </r>
    <r>
      <rPr>
        <sz val="12"/>
        <color indexed="8"/>
        <rFont val="LitNusx"/>
      </rPr>
      <t xml:space="preserve"> </t>
    </r>
    <r>
      <rPr>
        <sz val="12"/>
        <color indexed="8"/>
        <rFont val="AcadMtavr"/>
      </rPr>
      <t>mm</t>
    </r>
  </si>
  <si>
    <r>
      <t>პოლიეთილენის მილი</t>
    </r>
    <r>
      <rPr>
        <sz val="12"/>
        <rFont val="Arial"/>
        <family val="2"/>
      </rPr>
      <t xml:space="preserve"> PE 100 SDR 11 PN 16 d=63</t>
    </r>
    <r>
      <rPr>
        <sz val="12"/>
        <rFont val="AcadNusx"/>
      </rPr>
      <t xml:space="preserve"> mm</t>
    </r>
  </si>
  <si>
    <t>წყალი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</si>
</sst>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000"/>
    <numFmt numFmtId="166" formatCode="0.0"/>
    <numFmt numFmtId="167" formatCode="0.000"/>
    <numFmt numFmtId="168" formatCode="_-* #,##0.00_р_._-;\-* #,##0.00_р_._-;_-* &quot;-&quot;??_р_._-;_-@_-"/>
    <numFmt numFmtId="169" formatCode="_(* #,##0.0_);_(* \(#,##0.0\);_(* &quot;-&quot;??_);_(@_)"/>
    <numFmt numFmtId="170" formatCode="_(* #,##0_);_(* \(#,##0\);_(* &quot;-&quot;??_);_(@_)"/>
    <numFmt numFmtId="171" formatCode="0.00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0"/>
      <name val="Sylfaen"/>
      <family val="1"/>
      <charset val="204"/>
    </font>
    <font>
      <b/>
      <sz val="12"/>
      <name val="Sylfaen"/>
      <family val="1"/>
    </font>
    <font>
      <sz val="10"/>
      <name val="Sylfaen"/>
      <family val="1"/>
      <charset val="204"/>
    </font>
    <font>
      <sz val="12"/>
      <name val="Sylfaen"/>
      <family val="1"/>
    </font>
    <font>
      <vertAlign val="superscript"/>
      <sz val="12"/>
      <name val="Sylfaen"/>
      <family val="1"/>
    </font>
    <font>
      <sz val="11"/>
      <name val="Sylfaen"/>
      <family val="1"/>
      <charset val="204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  <charset val="204"/>
    </font>
    <font>
      <sz val="12"/>
      <name val="AcadNusx"/>
    </font>
    <font>
      <b/>
      <sz val="12"/>
      <name val="AcadMtavr"/>
    </font>
    <font>
      <sz val="12"/>
      <color indexed="8"/>
      <name val="AcadNusx"/>
    </font>
    <font>
      <vertAlign val="superscript"/>
      <sz val="12"/>
      <color indexed="8"/>
      <name val="AcadNusx"/>
    </font>
    <font>
      <sz val="11"/>
      <name val="Sylfaen"/>
      <family val="1"/>
    </font>
    <font>
      <sz val="11"/>
      <name val="AcadNusx"/>
    </font>
    <font>
      <b/>
      <sz val="12"/>
      <name val="AcadNusx"/>
    </font>
    <font>
      <sz val="10"/>
      <name val="AcadNusx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LitNusx"/>
    </font>
    <font>
      <sz val="12"/>
      <color indexed="8"/>
      <name val="AcadMtavr"/>
    </font>
    <font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3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359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1" fontId="4" fillId="2" borderId="11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vertical="center" wrapText="1"/>
    </xf>
    <xf numFmtId="0" fontId="4" fillId="2" borderId="14" xfId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 wrapText="1"/>
    </xf>
    <xf numFmtId="0" fontId="2" fillId="2" borderId="0" xfId="1" applyFill="1"/>
    <xf numFmtId="0" fontId="8" fillId="2" borderId="0" xfId="1" applyFont="1" applyFill="1" applyAlignment="1">
      <alignment vertical="center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8" fillId="2" borderId="11" xfId="1" applyFont="1" applyFill="1" applyBorder="1" applyAlignment="1" applyProtection="1">
      <alignment horizontal="center" vertical="center"/>
      <protection locked="0"/>
    </xf>
    <xf numFmtId="0" fontId="12" fillId="2" borderId="1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9" fontId="8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vertical="center" wrapText="1"/>
    </xf>
    <xf numFmtId="0" fontId="7" fillId="2" borderId="0" xfId="1" applyFont="1" applyFill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3" borderId="0" xfId="1" applyFont="1" applyFill="1" applyAlignment="1">
      <alignment vertical="center" wrapText="1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22" xfId="3" applyNumberFormat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/>
    </xf>
    <xf numFmtId="49" fontId="10" fillId="0" borderId="3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10" xfId="1" applyFont="1" applyFill="1" applyBorder="1" applyAlignment="1">
      <alignment horizontal="center" vertical="center"/>
    </xf>
    <xf numFmtId="49" fontId="10" fillId="0" borderId="11" xfId="1" applyNumberFormat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4" fillId="0" borderId="0" xfId="5" applyFont="1" applyFill="1" applyBorder="1" applyAlignment="1">
      <alignment horizontal="left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10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21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16" xfId="5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6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vertical="center" wrapText="1"/>
    </xf>
    <xf numFmtId="2" fontId="6" fillId="2" borderId="0" xfId="1" applyNumberFormat="1" applyFont="1" applyFill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3" borderId="14" xfId="2" applyFont="1" applyFill="1" applyBorder="1" applyAlignment="1">
      <alignment horizontal="left" vertical="center" wrapText="1"/>
    </xf>
    <xf numFmtId="169" fontId="6" fillId="2" borderId="11" xfId="6" applyNumberFormat="1" applyFont="1" applyFill="1" applyBorder="1" applyAlignment="1" applyProtection="1">
      <alignment horizontal="center" vertical="center"/>
    </xf>
    <xf numFmtId="169" fontId="4" fillId="0" borderId="16" xfId="6" applyNumberFormat="1" applyFont="1" applyFill="1" applyBorder="1" applyAlignment="1">
      <alignment horizontal="center" vertical="center" wrapText="1"/>
    </xf>
    <xf numFmtId="169" fontId="3" fillId="0" borderId="11" xfId="6" applyNumberFormat="1" applyFont="1" applyFill="1" applyBorder="1" applyAlignment="1">
      <alignment horizontal="center" vertical="center" wrapText="1"/>
    </xf>
    <xf numFmtId="169" fontId="8" fillId="0" borderId="11" xfId="6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8" fillId="2" borderId="10" xfId="1" applyNumberFormat="1" applyFont="1" applyFill="1" applyBorder="1" applyAlignment="1" applyProtection="1">
      <alignment horizontal="center" vertical="center"/>
      <protection locked="0"/>
    </xf>
    <xf numFmtId="49" fontId="6" fillId="2" borderId="10" xfId="1" applyNumberFormat="1" applyFont="1" applyFill="1" applyBorder="1" applyAlignment="1">
      <alignment horizontal="center" vertical="center"/>
    </xf>
    <xf numFmtId="49" fontId="6" fillId="2" borderId="0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170" fontId="8" fillId="2" borderId="11" xfId="6" applyNumberFormat="1" applyFont="1" applyFill="1" applyBorder="1" applyAlignment="1" applyProtection="1">
      <alignment horizontal="center" vertical="center"/>
    </xf>
    <xf numFmtId="169" fontId="6" fillId="2" borderId="11" xfId="6" applyNumberFormat="1" applyFont="1" applyFill="1" applyBorder="1" applyAlignment="1" applyProtection="1">
      <alignment horizontal="right" vertical="center"/>
    </xf>
    <xf numFmtId="169" fontId="6" fillId="2" borderId="11" xfId="6" applyNumberFormat="1" applyFont="1" applyFill="1" applyBorder="1" applyAlignment="1" applyProtection="1">
      <alignment horizontal="left" vertical="center"/>
    </xf>
    <xf numFmtId="169" fontId="6" fillId="2" borderId="12" xfId="6" applyNumberFormat="1" applyFont="1" applyFill="1" applyBorder="1" applyAlignment="1" applyProtection="1">
      <alignment horizontal="center" vertical="center"/>
    </xf>
    <xf numFmtId="169" fontId="4" fillId="0" borderId="3" xfId="6" applyNumberFormat="1" applyFont="1" applyFill="1" applyBorder="1" applyAlignment="1">
      <alignment horizontal="center" vertical="center"/>
    </xf>
    <xf numFmtId="169" fontId="4" fillId="0" borderId="3" xfId="6" applyNumberFormat="1" applyFont="1" applyFill="1" applyBorder="1" applyAlignment="1">
      <alignment horizontal="center" vertical="center" wrapText="1"/>
    </xf>
    <xf numFmtId="169" fontId="4" fillId="0" borderId="3" xfId="6" applyNumberFormat="1" applyFont="1" applyFill="1" applyBorder="1" applyAlignment="1">
      <alignment horizontal="left" vertical="center" wrapText="1"/>
    </xf>
    <xf numFmtId="169" fontId="4" fillId="0" borderId="22" xfId="6" applyNumberFormat="1" applyFont="1" applyFill="1" applyBorder="1" applyAlignment="1">
      <alignment horizontal="center" vertical="center" wrapText="1"/>
    </xf>
    <xf numFmtId="169" fontId="6" fillId="0" borderId="11" xfId="6" applyNumberFormat="1" applyFont="1" applyFill="1" applyBorder="1" applyAlignment="1">
      <alignment horizontal="center" vertical="center"/>
    </xf>
    <xf numFmtId="169" fontId="6" fillId="0" borderId="11" xfId="6" applyNumberFormat="1" applyFont="1" applyFill="1" applyBorder="1" applyAlignment="1">
      <alignment horizontal="center" vertical="center" wrapText="1"/>
    </xf>
    <xf numFmtId="169" fontId="6" fillId="0" borderId="11" xfId="6" applyNumberFormat="1" applyFont="1" applyFill="1" applyBorder="1" applyAlignment="1">
      <alignment horizontal="left" vertical="center" wrapText="1"/>
    </xf>
    <xf numFmtId="169" fontId="6" fillId="0" borderId="12" xfId="6" applyNumberFormat="1" applyFont="1" applyFill="1" applyBorder="1" applyAlignment="1">
      <alignment horizontal="center" vertical="center" wrapText="1"/>
    </xf>
    <xf numFmtId="169" fontId="4" fillId="0" borderId="24" xfId="6" applyNumberFormat="1" applyFont="1" applyFill="1" applyBorder="1" applyAlignment="1">
      <alignment horizontal="center" vertical="center" wrapText="1"/>
    </xf>
    <xf numFmtId="169" fontId="3" fillId="0" borderId="11" xfId="6" applyNumberFormat="1" applyFont="1" applyFill="1" applyBorder="1" applyAlignment="1">
      <alignment horizontal="center" vertical="center"/>
    </xf>
    <xf numFmtId="169" fontId="4" fillId="0" borderId="11" xfId="6" applyNumberFormat="1" applyFont="1" applyFill="1" applyBorder="1" applyAlignment="1">
      <alignment horizontal="center" vertical="center"/>
    </xf>
    <xf numFmtId="169" fontId="3" fillId="0" borderId="12" xfId="6" applyNumberFormat="1" applyFont="1" applyFill="1" applyBorder="1" applyAlignment="1">
      <alignment horizontal="center" vertical="center"/>
    </xf>
    <xf numFmtId="169" fontId="8" fillId="2" borderId="7" xfId="6" applyNumberFormat="1" applyFont="1" applyFill="1" applyBorder="1" applyAlignment="1">
      <alignment horizontal="center" vertical="center"/>
    </xf>
    <xf numFmtId="164" fontId="8" fillId="2" borderId="12" xfId="6" applyFont="1" applyFill="1" applyBorder="1" applyAlignment="1" applyProtection="1">
      <alignment horizontal="center" vertical="center"/>
    </xf>
    <xf numFmtId="0" fontId="8" fillId="3" borderId="14" xfId="2" applyFont="1" applyFill="1" applyBorder="1" applyAlignment="1">
      <alignment horizontal="left" vertical="center" wrapText="1"/>
    </xf>
    <xf numFmtId="0" fontId="14" fillId="2" borderId="0" xfId="0" applyFont="1" applyFill="1" applyAlignment="1">
      <alignment vertical="center"/>
    </xf>
    <xf numFmtId="2" fontId="8" fillId="2" borderId="11" xfId="1" applyNumberFormat="1" applyFont="1" applyFill="1" applyBorder="1" applyAlignment="1" applyProtection="1">
      <alignment horizontal="center" vertical="center"/>
    </xf>
    <xf numFmtId="0" fontId="8" fillId="2" borderId="11" xfId="1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 applyProtection="1">
      <alignment horizontal="center" vertical="center"/>
    </xf>
    <xf numFmtId="2" fontId="6" fillId="2" borderId="11" xfId="1" applyNumberFormat="1" applyFont="1" applyFill="1" applyBorder="1" applyAlignment="1" applyProtection="1">
      <alignment horizontal="center" vertical="center"/>
    </xf>
    <xf numFmtId="164" fontId="8" fillId="2" borderId="11" xfId="6" applyFont="1" applyFill="1" applyBorder="1" applyAlignment="1" applyProtection="1">
      <alignment horizontal="center" vertical="center"/>
    </xf>
    <xf numFmtId="164" fontId="6" fillId="2" borderId="11" xfId="6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14" fillId="0" borderId="13" xfId="2" applyFont="1" applyBorder="1" applyAlignment="1">
      <alignment horizontal="center" vertical="center" wrapText="1"/>
    </xf>
    <xf numFmtId="2" fontId="14" fillId="2" borderId="14" xfId="2" applyNumberFormat="1" applyFont="1" applyFill="1" applyBorder="1" applyAlignment="1">
      <alignment horizontal="center" vertical="center" wrapText="1"/>
    </xf>
    <xf numFmtId="0" fontId="14" fillId="2" borderId="14" xfId="2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horizontal="center" vertical="center"/>
    </xf>
    <xf numFmtId="2" fontId="14" fillId="2" borderId="14" xfId="0" applyNumberFormat="1" applyFont="1" applyFill="1" applyBorder="1" applyAlignment="1">
      <alignment horizontal="center" vertical="center"/>
    </xf>
    <xf numFmtId="0" fontId="14" fillId="3" borderId="14" xfId="2" applyFont="1" applyFill="1" applyBorder="1" applyAlignment="1">
      <alignment horizontal="center" vertical="center"/>
    </xf>
    <xf numFmtId="2" fontId="14" fillId="2" borderId="15" xfId="0" applyNumberFormat="1" applyFont="1" applyFill="1" applyBorder="1" applyAlignment="1">
      <alignment horizontal="center" vertical="center"/>
    </xf>
    <xf numFmtId="0" fontId="14" fillId="3" borderId="14" xfId="2" applyFont="1" applyFill="1" applyBorder="1" applyAlignment="1">
      <alignment horizontal="left" vertical="center" wrapText="1"/>
    </xf>
    <xf numFmtId="0" fontId="14" fillId="2" borderId="14" xfId="2" applyFont="1" applyFill="1" applyBorder="1" applyAlignment="1">
      <alignment horizontal="center" vertical="center"/>
    </xf>
    <xf numFmtId="1" fontId="14" fillId="3" borderId="14" xfId="2" applyNumberFormat="1" applyFont="1" applyFill="1" applyBorder="1" applyAlignment="1">
      <alignment horizontal="center" vertical="center"/>
    </xf>
    <xf numFmtId="2" fontId="14" fillId="2" borderId="14" xfId="2" applyNumberFormat="1" applyFont="1" applyFill="1" applyBorder="1" applyAlignment="1">
      <alignment horizontal="center" vertical="center"/>
    </xf>
    <xf numFmtId="2" fontId="14" fillId="3" borderId="14" xfId="2" applyNumberFormat="1" applyFont="1" applyFill="1" applyBorder="1" applyAlignment="1">
      <alignment horizontal="center" vertical="center"/>
    </xf>
    <xf numFmtId="2" fontId="14" fillId="2" borderId="15" xfId="2" applyNumberFormat="1" applyFont="1" applyFill="1" applyBorder="1" applyAlignment="1">
      <alignment horizontal="center" vertical="center"/>
    </xf>
    <xf numFmtId="166" fontId="14" fillId="2" borderId="14" xfId="0" applyNumberFormat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2" fontId="4" fillId="4" borderId="14" xfId="2" applyNumberFormat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vertical="center" wrapText="1"/>
    </xf>
    <xf numFmtId="0" fontId="4" fillId="4" borderId="14" xfId="1" applyFont="1" applyFill="1" applyBorder="1" applyAlignment="1">
      <alignment horizontal="center" vertical="center"/>
    </xf>
    <xf numFmtId="0" fontId="14" fillId="4" borderId="13" xfId="2" applyFont="1" applyFill="1" applyBorder="1" applyAlignment="1">
      <alignment horizontal="center" vertical="center" wrapText="1"/>
    </xf>
    <xf numFmtId="2" fontId="14" fillId="4" borderId="14" xfId="2" applyNumberFormat="1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4" fillId="4" borderId="14" xfId="2" applyFont="1" applyFill="1" applyBorder="1" applyAlignment="1">
      <alignment horizontal="center" vertical="center" wrapText="1"/>
    </xf>
    <xf numFmtId="1" fontId="14" fillId="4" borderId="14" xfId="2" applyNumberFormat="1" applyFont="1" applyFill="1" applyBorder="1" applyAlignment="1">
      <alignment horizontal="center" vertical="center" wrapText="1"/>
    </xf>
    <xf numFmtId="2" fontId="14" fillId="4" borderId="15" xfId="2" applyNumberFormat="1" applyFont="1" applyFill="1" applyBorder="1" applyAlignment="1">
      <alignment horizontal="center" vertical="center" wrapText="1"/>
    </xf>
    <xf numFmtId="2" fontId="8" fillId="4" borderId="14" xfId="2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66" fontId="4" fillId="2" borderId="14" xfId="1" applyNumberFormat="1" applyFont="1" applyFill="1" applyBorder="1" applyAlignment="1">
      <alignment horizontal="center" vertical="center"/>
    </xf>
    <xf numFmtId="167" fontId="4" fillId="2" borderId="14" xfId="1" applyNumberFormat="1" applyFont="1" applyFill="1" applyBorder="1" applyAlignment="1">
      <alignment horizontal="center" vertical="center"/>
    </xf>
    <xf numFmtId="167" fontId="4" fillId="4" borderId="14" xfId="3" applyNumberFormat="1" applyFont="1" applyFill="1" applyBorder="1" applyAlignment="1">
      <alignment horizontal="center" vertical="center"/>
    </xf>
    <xf numFmtId="2" fontId="4" fillId="4" borderId="14" xfId="1" applyNumberFormat="1" applyFont="1" applyFill="1" applyBorder="1" applyAlignment="1">
      <alignment horizontal="center" vertical="center"/>
    </xf>
    <xf numFmtId="0" fontId="14" fillId="2" borderId="5" xfId="8" applyFont="1" applyFill="1" applyBorder="1" applyAlignment="1">
      <alignment horizontal="center" vertical="center"/>
    </xf>
    <xf numFmtId="167" fontId="14" fillId="2" borderId="0" xfId="8" applyNumberFormat="1" applyFont="1" applyFill="1" applyAlignment="1">
      <alignment horizontal="left" vertical="center"/>
    </xf>
    <xf numFmtId="0" fontId="14" fillId="2" borderId="0" xfId="8" applyFont="1" applyFill="1" applyAlignment="1">
      <alignment vertical="center"/>
    </xf>
    <xf numFmtId="0" fontId="14" fillId="2" borderId="8" xfId="8" applyFont="1" applyFill="1" applyBorder="1" applyAlignment="1">
      <alignment horizontal="center" vertical="center"/>
    </xf>
    <xf numFmtId="2" fontId="14" fillId="2" borderId="8" xfId="8" applyNumberFormat="1" applyFont="1" applyFill="1" applyBorder="1" applyAlignment="1">
      <alignment horizontal="center" vertical="center"/>
    </xf>
    <xf numFmtId="0" fontId="14" fillId="2" borderId="9" xfId="8" applyFont="1" applyFill="1" applyBorder="1" applyAlignment="1">
      <alignment horizontal="center" vertical="center"/>
    </xf>
    <xf numFmtId="0" fontId="14" fillId="2" borderId="10" xfId="8" applyFont="1" applyFill="1" applyBorder="1" applyAlignment="1">
      <alignment horizontal="center" vertical="center"/>
    </xf>
    <xf numFmtId="49" fontId="14" fillId="2" borderId="11" xfId="8" applyNumberFormat="1" applyFont="1" applyFill="1" applyBorder="1" applyAlignment="1">
      <alignment horizontal="center" vertical="center" wrapText="1"/>
    </xf>
    <xf numFmtId="0" fontId="14" fillId="2" borderId="11" xfId="8" applyFont="1" applyFill="1" applyBorder="1" applyAlignment="1">
      <alignment horizontal="center" vertical="center" wrapText="1"/>
    </xf>
    <xf numFmtId="0" fontId="14" fillId="2" borderId="11" xfId="8" applyFont="1" applyFill="1" applyBorder="1" applyAlignment="1">
      <alignment horizontal="center" vertical="center"/>
    </xf>
    <xf numFmtId="1" fontId="14" fillId="2" borderId="11" xfId="8" applyNumberFormat="1" applyFont="1" applyFill="1" applyBorder="1" applyAlignment="1">
      <alignment horizontal="center" vertical="center"/>
    </xf>
    <xf numFmtId="0" fontId="14" fillId="2" borderId="12" xfId="8" applyFont="1" applyFill="1" applyBorder="1" applyAlignment="1">
      <alignment horizontal="center" vertical="center"/>
    </xf>
    <xf numFmtId="166" fontId="8" fillId="4" borderId="14" xfId="7" applyNumberFormat="1" applyFont="1" applyFill="1" applyBorder="1" applyAlignment="1" applyProtection="1">
      <alignment horizontal="center" vertical="center"/>
      <protection locked="0"/>
    </xf>
    <xf numFmtId="166" fontId="8" fillId="2" borderId="14" xfId="7" applyNumberFormat="1" applyFont="1" applyFill="1" applyBorder="1" applyAlignment="1">
      <alignment horizontal="center" vertical="center"/>
    </xf>
    <xf numFmtId="2" fontId="8" fillId="2" borderId="15" xfId="7" applyNumberFormat="1" applyFont="1" applyFill="1" applyBorder="1" applyAlignment="1">
      <alignment horizontal="center" vertical="center"/>
    </xf>
    <xf numFmtId="0" fontId="4" fillId="4" borderId="13" xfId="7" applyFont="1" applyFill="1" applyBorder="1" applyAlignment="1">
      <alignment horizontal="center" vertical="center"/>
    </xf>
    <xf numFmtId="0" fontId="10" fillId="4" borderId="14" xfId="2" applyFont="1" applyFill="1" applyBorder="1" applyAlignment="1">
      <alignment horizontal="center" vertical="center" wrapText="1"/>
    </xf>
    <xf numFmtId="0" fontId="4" fillId="4" borderId="14" xfId="7" applyFont="1" applyFill="1" applyBorder="1" applyAlignment="1">
      <alignment horizontal="left" vertical="center" wrapText="1"/>
    </xf>
    <xf numFmtId="0" fontId="4" fillId="4" borderId="14" xfId="7" applyFont="1" applyFill="1" applyBorder="1" applyAlignment="1">
      <alignment horizontal="center" vertical="center"/>
    </xf>
    <xf numFmtId="2" fontId="4" fillId="4" borderId="14" xfId="7" applyNumberFormat="1" applyFont="1" applyFill="1" applyBorder="1" applyAlignment="1">
      <alignment horizontal="center" vertical="center"/>
    </xf>
    <xf numFmtId="2" fontId="4" fillId="4" borderId="15" xfId="7" applyNumberFormat="1" applyFont="1" applyFill="1" applyBorder="1" applyAlignment="1">
      <alignment horizontal="center" vertical="center"/>
    </xf>
    <xf numFmtId="167" fontId="4" fillId="2" borderId="0" xfId="7" applyNumberFormat="1" applyFont="1" applyFill="1" applyAlignment="1">
      <alignment horizontal="left" vertical="center"/>
    </xf>
    <xf numFmtId="0" fontId="4" fillId="2" borderId="0" xfId="7" applyFont="1" applyFill="1" applyAlignment="1">
      <alignment vertical="center"/>
    </xf>
    <xf numFmtId="0" fontId="4" fillId="2" borderId="13" xfId="7" applyFont="1" applyFill="1" applyBorder="1" applyAlignment="1">
      <alignment horizontal="center" vertical="center"/>
    </xf>
    <xf numFmtId="0" fontId="4" fillId="2" borderId="14" xfId="7" applyFont="1" applyFill="1" applyBorder="1" applyAlignment="1">
      <alignment horizontal="center" vertical="center" wrapText="1"/>
    </xf>
    <xf numFmtId="0" fontId="4" fillId="2" borderId="14" xfId="7" applyFont="1" applyFill="1" applyBorder="1" applyAlignment="1">
      <alignment vertical="center" wrapText="1"/>
    </xf>
    <xf numFmtId="0" fontId="4" fillId="2" borderId="14" xfId="7" applyFont="1" applyFill="1" applyBorder="1" applyAlignment="1">
      <alignment horizontal="center" vertical="center"/>
    </xf>
    <xf numFmtId="2" fontId="4" fillId="2" borderId="14" xfId="7" applyNumberFormat="1" applyFont="1" applyFill="1" applyBorder="1" applyAlignment="1">
      <alignment horizontal="center" vertical="center"/>
    </xf>
    <xf numFmtId="166" fontId="4" fillId="2" borderId="14" xfId="7" applyNumberFormat="1" applyFont="1" applyFill="1" applyBorder="1" applyAlignment="1">
      <alignment horizontal="center" vertical="center"/>
    </xf>
    <xf numFmtId="2" fontId="4" fillId="2" borderId="15" xfId="7" applyNumberFormat="1" applyFont="1" applyFill="1" applyBorder="1" applyAlignment="1">
      <alignment horizontal="center" vertical="center"/>
    </xf>
    <xf numFmtId="49" fontId="8" fillId="4" borderId="14" xfId="2" applyNumberFormat="1" applyFont="1" applyFill="1" applyBorder="1" applyAlignment="1">
      <alignment horizontal="center" vertical="center" wrapText="1"/>
    </xf>
    <xf numFmtId="166" fontId="4" fillId="2" borderId="14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167" fontId="8" fillId="2" borderId="14" xfId="0" applyNumberFormat="1" applyFont="1" applyFill="1" applyBorder="1" applyAlignment="1">
      <alignment horizontal="center" vertical="center"/>
    </xf>
    <xf numFmtId="2" fontId="8" fillId="2" borderId="14" xfId="0" applyNumberFormat="1" applyFont="1" applyFill="1" applyBorder="1" applyAlignment="1">
      <alignment horizontal="center" vertical="center"/>
    </xf>
    <xf numFmtId="2" fontId="8" fillId="2" borderId="15" xfId="0" applyNumberFormat="1" applyFont="1" applyFill="1" applyBorder="1" applyAlignment="1">
      <alignment horizontal="center" vertical="center"/>
    </xf>
    <xf numFmtId="166" fontId="4" fillId="2" borderId="15" xfId="0" applyNumberFormat="1" applyFont="1" applyFill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166" fontId="8" fillId="2" borderId="14" xfId="0" applyNumberFormat="1" applyFont="1" applyFill="1" applyBorder="1" applyAlignment="1">
      <alignment horizontal="center" vertical="center"/>
    </xf>
    <xf numFmtId="165" fontId="8" fillId="2" borderId="14" xfId="0" applyNumberFormat="1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left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167" fontId="4" fillId="2" borderId="14" xfId="0" applyNumberFormat="1" applyFont="1" applyFill="1" applyBorder="1" applyAlignment="1">
      <alignment horizontal="center" vertical="center"/>
    </xf>
    <xf numFmtId="0" fontId="19" fillId="2" borderId="10" xfId="2" applyFont="1" applyFill="1" applyBorder="1" applyAlignment="1">
      <alignment horizontal="center" vertical="center" wrapText="1"/>
    </xf>
    <xf numFmtId="49" fontId="19" fillId="2" borderId="11" xfId="2" applyNumberFormat="1" applyFont="1" applyFill="1" applyBorder="1" applyAlignment="1">
      <alignment horizontal="center" vertical="center" wrapText="1"/>
    </xf>
    <xf numFmtId="0" fontId="20" fillId="2" borderId="11" xfId="8" applyFont="1" applyFill="1" applyBorder="1" applyAlignment="1">
      <alignment horizontal="right" vertical="center" wrapText="1"/>
    </xf>
    <xf numFmtId="2" fontId="14" fillId="2" borderId="11" xfId="8" applyNumberFormat="1" applyFont="1" applyFill="1" applyBorder="1" applyAlignment="1">
      <alignment horizontal="center" vertical="center"/>
    </xf>
    <xf numFmtId="2" fontId="20" fillId="2" borderId="11" xfId="8" applyNumberFormat="1" applyFont="1" applyFill="1" applyBorder="1" applyAlignment="1">
      <alignment horizontal="center" vertical="center"/>
    </xf>
    <xf numFmtId="2" fontId="20" fillId="2" borderId="12" xfId="8" applyNumberFormat="1" applyFont="1" applyFill="1" applyBorder="1" applyAlignment="1">
      <alignment horizontal="center" vertical="center"/>
    </xf>
    <xf numFmtId="0" fontId="6" fillId="2" borderId="21" xfId="8" applyFont="1" applyFill="1" applyBorder="1" applyAlignment="1">
      <alignment horizontal="center" vertical="center" wrapText="1"/>
    </xf>
    <xf numFmtId="49" fontId="6" fillId="2" borderId="16" xfId="8" applyNumberFormat="1" applyFont="1" applyFill="1" applyBorder="1" applyAlignment="1">
      <alignment horizontal="center" vertical="center" wrapText="1"/>
    </xf>
    <xf numFmtId="0" fontId="8" fillId="2" borderId="16" xfId="8" applyFont="1" applyFill="1" applyBorder="1" applyAlignment="1">
      <alignment horizontal="left" vertical="center" wrapText="1"/>
    </xf>
    <xf numFmtId="9" fontId="8" fillId="2" borderId="16" xfId="8" applyNumberFormat="1" applyFont="1" applyFill="1" applyBorder="1" applyAlignment="1">
      <alignment horizontal="center" vertical="center" wrapText="1"/>
    </xf>
    <xf numFmtId="2" fontId="6" fillId="2" borderId="16" xfId="8" applyNumberFormat="1" applyFont="1" applyFill="1" applyBorder="1" applyAlignment="1">
      <alignment horizontal="center" vertical="center" wrapText="1"/>
    </xf>
    <xf numFmtId="0" fontId="6" fillId="2" borderId="16" xfId="8" applyFont="1" applyFill="1" applyBorder="1" applyAlignment="1">
      <alignment horizontal="center" vertical="center" wrapText="1"/>
    </xf>
    <xf numFmtId="2" fontId="8" fillId="2" borderId="16" xfId="8" applyNumberFormat="1" applyFont="1" applyFill="1" applyBorder="1" applyAlignment="1">
      <alignment horizontal="center" vertical="center" wrapText="1"/>
    </xf>
    <xf numFmtId="2" fontId="8" fillId="2" borderId="24" xfId="8" applyNumberFormat="1" applyFont="1" applyFill="1" applyBorder="1" applyAlignment="1">
      <alignment horizontal="center" vertical="center"/>
    </xf>
    <xf numFmtId="167" fontId="21" fillId="2" borderId="0" xfId="8" applyNumberFormat="1" applyFont="1" applyFill="1" applyAlignment="1">
      <alignment horizontal="left"/>
    </xf>
    <xf numFmtId="0" fontId="21" fillId="2" borderId="0" xfId="8" applyFont="1" applyFill="1"/>
    <xf numFmtId="0" fontId="6" fillId="2" borderId="10" xfId="8" applyFont="1" applyFill="1" applyBorder="1" applyAlignment="1">
      <alignment horizontal="center" vertical="center" wrapText="1"/>
    </xf>
    <xf numFmtId="49" fontId="6" fillId="2" borderId="11" xfId="8" applyNumberFormat="1" applyFont="1" applyFill="1" applyBorder="1" applyAlignment="1">
      <alignment horizontal="center" vertical="center" wrapText="1"/>
    </xf>
    <xf numFmtId="0" fontId="6" fillId="2" borderId="11" xfId="8" applyFont="1" applyFill="1" applyBorder="1" applyAlignment="1">
      <alignment horizontal="left" vertical="center" wrapText="1"/>
    </xf>
    <xf numFmtId="0" fontId="8" fillId="2" borderId="11" xfId="8" applyFont="1" applyFill="1" applyBorder="1" applyAlignment="1">
      <alignment horizontal="center" vertical="center" wrapText="1"/>
    </xf>
    <xf numFmtId="2" fontId="6" fillId="2" borderId="11" xfId="8" applyNumberFormat="1" applyFont="1" applyFill="1" applyBorder="1" applyAlignment="1">
      <alignment horizontal="center" vertical="center" wrapText="1"/>
    </xf>
    <xf numFmtId="0" fontId="6" fillId="2" borderId="11" xfId="8" applyFont="1" applyFill="1" applyBorder="1" applyAlignment="1">
      <alignment horizontal="center" vertical="center" wrapText="1"/>
    </xf>
    <xf numFmtId="2" fontId="6" fillId="2" borderId="12" xfId="8" applyNumberFormat="1" applyFont="1" applyFill="1" applyBorder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2" fontId="4" fillId="2" borderId="0" xfId="7" applyNumberFormat="1" applyFont="1" applyFill="1" applyAlignment="1">
      <alignment horizontal="center" vertical="center"/>
    </xf>
    <xf numFmtId="0" fontId="8" fillId="2" borderId="0" xfId="0" applyFont="1" applyFill="1"/>
    <xf numFmtId="0" fontId="18" fillId="2" borderId="14" xfId="0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left" vertical="center" wrapText="1" readingOrder="1"/>
    </xf>
    <xf numFmtId="0" fontId="8" fillId="4" borderId="13" xfId="0" applyFont="1" applyFill="1" applyBorder="1" applyAlignment="1">
      <alignment horizontal="center" vertical="center"/>
    </xf>
    <xf numFmtId="2" fontId="8" fillId="4" borderId="14" xfId="0" applyNumberFormat="1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left" vertical="center" wrapText="1" readingOrder="1"/>
    </xf>
    <xf numFmtId="49" fontId="4" fillId="2" borderId="13" xfId="7" applyNumberFormat="1" applyFont="1" applyFill="1" applyBorder="1" applyAlignment="1">
      <alignment horizontal="center" vertical="center"/>
    </xf>
    <xf numFmtId="167" fontId="4" fillId="2" borderId="14" xfId="7" applyNumberFormat="1" applyFont="1" applyFill="1" applyBorder="1" applyAlignment="1">
      <alignment horizontal="center" vertical="center"/>
    </xf>
    <xf numFmtId="0" fontId="11" fillId="2" borderId="14" xfId="7" applyFont="1" applyFill="1" applyBorder="1" applyAlignment="1" applyProtection="1">
      <alignment horizontal="center" vertical="center" wrapText="1"/>
      <protection locked="0"/>
    </xf>
    <xf numFmtId="165" fontId="4" fillId="2" borderId="14" xfId="7" applyNumberFormat="1" applyFont="1" applyFill="1" applyBorder="1" applyAlignment="1">
      <alignment horizontal="center" vertical="center"/>
    </xf>
    <xf numFmtId="2" fontId="8" fillId="2" borderId="14" xfId="0" applyNumberFormat="1" applyFont="1" applyFill="1" applyBorder="1" applyAlignment="1" applyProtection="1">
      <alignment horizontal="center" vertical="center"/>
      <protection locked="0"/>
    </xf>
    <xf numFmtId="49" fontId="4" fillId="4" borderId="13" xfId="7" applyNumberFormat="1" applyFont="1" applyFill="1" applyBorder="1" applyAlignment="1">
      <alignment horizontal="center" vertical="center"/>
    </xf>
    <xf numFmtId="49" fontId="4" fillId="4" borderId="14" xfId="7" applyNumberFormat="1" applyFont="1" applyFill="1" applyBorder="1" applyAlignment="1">
      <alignment horizontal="center" vertical="center" wrapText="1"/>
    </xf>
    <xf numFmtId="0" fontId="8" fillId="4" borderId="14" xfId="7" applyFont="1" applyFill="1" applyBorder="1" applyAlignment="1" applyProtection="1">
      <alignment vertical="center" wrapText="1"/>
      <protection locked="0"/>
    </xf>
    <xf numFmtId="49" fontId="4" fillId="2" borderId="14" xfId="7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11" fillId="2" borderId="14" xfId="7" applyNumberFormat="1" applyFont="1" applyFill="1" applyBorder="1" applyAlignment="1">
      <alignment horizontal="center" vertical="center" wrapText="1"/>
    </xf>
    <xf numFmtId="0" fontId="8" fillId="2" borderId="14" xfId="7" applyFont="1" applyFill="1" applyBorder="1" applyAlignment="1">
      <alignment vertical="center" wrapText="1"/>
    </xf>
    <xf numFmtId="49" fontId="4" fillId="4" borderId="13" xfId="7" applyNumberFormat="1" applyFont="1" applyFill="1" applyBorder="1" applyAlignment="1">
      <alignment horizontal="center" vertical="center" wrapText="1"/>
    </xf>
    <xf numFmtId="0" fontId="4" fillId="4" borderId="14" xfId="7" applyFont="1" applyFill="1" applyBorder="1" applyAlignment="1">
      <alignment vertical="center" wrapText="1"/>
    </xf>
    <xf numFmtId="0" fontId="4" fillId="4" borderId="14" xfId="7" applyFont="1" applyFill="1" applyBorder="1" applyAlignment="1">
      <alignment horizontal="center" vertical="center" wrapText="1"/>
    </xf>
    <xf numFmtId="166" fontId="4" fillId="4" borderId="14" xfId="3" applyNumberFormat="1" applyFont="1" applyFill="1" applyBorder="1" applyAlignment="1">
      <alignment horizontal="center" vertical="center"/>
    </xf>
    <xf numFmtId="49" fontId="8" fillId="2" borderId="13" xfId="7" applyNumberFormat="1" applyFont="1" applyFill="1" applyBorder="1" applyAlignment="1">
      <alignment horizontal="center" vertical="center"/>
    </xf>
    <xf numFmtId="171" fontId="4" fillId="2" borderId="14" xfId="7" applyNumberFormat="1" applyFont="1" applyFill="1" applyBorder="1" applyAlignment="1">
      <alignment horizontal="center" vertical="center"/>
    </xf>
    <xf numFmtId="49" fontId="8" fillId="0" borderId="13" xfId="7" applyNumberFormat="1" applyFont="1" applyFill="1" applyBorder="1" applyAlignment="1">
      <alignment horizontal="center" vertical="center"/>
    </xf>
    <xf numFmtId="0" fontId="4" fillId="0" borderId="14" xfId="7" applyFont="1" applyFill="1" applyBorder="1" applyAlignment="1">
      <alignment horizontal="center" vertical="center" wrapText="1"/>
    </xf>
    <xf numFmtId="0" fontId="4" fillId="0" borderId="14" xfId="7" applyFont="1" applyFill="1" applyBorder="1" applyAlignment="1">
      <alignment vertical="center" wrapText="1"/>
    </xf>
    <xf numFmtId="0" fontId="4" fillId="0" borderId="14" xfId="7" applyFont="1" applyFill="1" applyBorder="1" applyAlignment="1">
      <alignment horizontal="center" vertical="center"/>
    </xf>
    <xf numFmtId="171" fontId="4" fillId="0" borderId="14" xfId="7" applyNumberFormat="1" applyFont="1" applyFill="1" applyBorder="1" applyAlignment="1">
      <alignment horizontal="center" vertical="center"/>
    </xf>
    <xf numFmtId="167" fontId="4" fillId="0" borderId="14" xfId="7" applyNumberFormat="1" applyFont="1" applyFill="1" applyBorder="1" applyAlignment="1">
      <alignment horizontal="center" vertical="center"/>
    </xf>
    <xf numFmtId="2" fontId="4" fillId="0" borderId="14" xfId="7" applyNumberFormat="1" applyFont="1" applyFill="1" applyBorder="1" applyAlignment="1">
      <alignment horizontal="center" vertical="center"/>
    </xf>
    <xf numFmtId="166" fontId="4" fillId="0" borderId="14" xfId="7" applyNumberFormat="1" applyFont="1" applyFill="1" applyBorder="1" applyAlignment="1">
      <alignment horizontal="center" vertical="center"/>
    </xf>
    <xf numFmtId="2" fontId="4" fillId="0" borderId="15" xfId="7" applyNumberFormat="1" applyFont="1" applyFill="1" applyBorder="1" applyAlignment="1">
      <alignment horizontal="center" vertical="center"/>
    </xf>
    <xf numFmtId="49" fontId="8" fillId="4" borderId="13" xfId="7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vertical="center" wrapText="1"/>
      <protection locked="0"/>
    </xf>
    <xf numFmtId="0" fontId="4" fillId="4" borderId="14" xfId="0" applyFont="1" applyFill="1" applyBorder="1" applyAlignment="1" applyProtection="1">
      <alignment vertical="center" wrapText="1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2" fontId="4" fillId="4" borderId="14" xfId="0" applyNumberFormat="1" applyFont="1" applyFill="1" applyBorder="1" applyAlignment="1" applyProtection="1">
      <alignment horizontal="center" vertical="center"/>
      <protection locked="0"/>
    </xf>
    <xf numFmtId="2" fontId="4" fillId="4" borderId="15" xfId="0" applyNumberFormat="1" applyFont="1" applyFill="1" applyBorder="1" applyAlignment="1" applyProtection="1">
      <alignment horizontal="center" vertical="center"/>
      <protection locked="0"/>
    </xf>
    <xf numFmtId="2" fontId="4" fillId="4" borderId="14" xfId="0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166" fontId="16" fillId="4" borderId="14" xfId="0" applyNumberFormat="1" applyFont="1" applyFill="1" applyBorder="1" applyAlignment="1">
      <alignment horizontal="center" vertical="center" wrapText="1"/>
    </xf>
    <xf numFmtId="0" fontId="11" fillId="2" borderId="14" xfId="7" applyFont="1" applyFill="1" applyBorder="1" applyAlignment="1">
      <alignment horizontal="center" vertical="center" wrapText="1"/>
    </xf>
    <xf numFmtId="166" fontId="4" fillId="2" borderId="15" xfId="7" applyNumberFormat="1" applyFont="1" applyFill="1" applyBorder="1" applyAlignment="1">
      <alignment horizontal="center" vertical="center"/>
    </xf>
    <xf numFmtId="2" fontId="4" fillId="4" borderId="14" xfId="3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2" fontId="14" fillId="4" borderId="14" xfId="0" applyNumberFormat="1" applyFont="1" applyFill="1" applyBorder="1" applyAlignment="1">
      <alignment horizontal="center" vertical="center"/>
    </xf>
    <xf numFmtId="2" fontId="14" fillId="4" borderId="15" xfId="0" applyNumberFormat="1" applyFont="1" applyFill="1" applyBorder="1" applyAlignment="1">
      <alignment horizontal="center" vertical="center"/>
    </xf>
    <xf numFmtId="0" fontId="8" fillId="3" borderId="14" xfId="2" applyFont="1" applyFill="1" applyBorder="1" applyAlignment="1">
      <alignment horizontal="center" vertical="center"/>
    </xf>
    <xf numFmtId="1" fontId="8" fillId="3" borderId="14" xfId="2" applyNumberFormat="1" applyFont="1" applyFill="1" applyBorder="1" applyAlignment="1">
      <alignment horizontal="center" vertical="center"/>
    </xf>
    <xf numFmtId="2" fontId="8" fillId="3" borderId="14" xfId="2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0" fontId="8" fillId="7" borderId="14" xfId="0" applyFont="1" applyFill="1" applyBorder="1" applyAlignment="1">
      <alignment horizontal="left" vertical="center" wrapText="1" readingOrder="1"/>
    </xf>
    <xf numFmtId="167" fontId="8" fillId="0" borderId="14" xfId="0" applyNumberFormat="1" applyFont="1" applyFill="1" applyBorder="1" applyAlignment="1">
      <alignment horizontal="center" vertical="center"/>
    </xf>
    <xf numFmtId="167" fontId="8" fillId="0" borderId="14" xfId="2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66" fontId="8" fillId="4" borderId="14" xfId="0" applyNumberFormat="1" applyFont="1" applyFill="1" applyBorder="1" applyAlignment="1">
      <alignment horizontal="center" vertical="center"/>
    </xf>
    <xf numFmtId="167" fontId="14" fillId="2" borderId="14" xfId="0" applyNumberFormat="1" applyFont="1" applyFill="1" applyBorder="1" applyAlignment="1">
      <alignment horizontal="center" vertical="center"/>
    </xf>
    <xf numFmtId="165" fontId="14" fillId="2" borderId="14" xfId="0" applyNumberFormat="1" applyFont="1" applyFill="1" applyBorder="1" applyAlignment="1">
      <alignment horizontal="center" vertical="center"/>
    </xf>
    <xf numFmtId="166" fontId="14" fillId="4" borderId="14" xfId="0" applyNumberFormat="1" applyFont="1" applyFill="1" applyBorder="1" applyAlignment="1">
      <alignment horizontal="center" vertical="center"/>
    </xf>
    <xf numFmtId="2" fontId="8" fillId="2" borderId="15" xfId="1" applyNumberFormat="1" applyFont="1" applyFill="1" applyBorder="1" applyAlignment="1">
      <alignment horizontal="center" vertical="center"/>
    </xf>
    <xf numFmtId="166" fontId="4" fillId="4" borderId="14" xfId="0" applyNumberFormat="1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 vertical="center"/>
    </xf>
    <xf numFmtId="1" fontId="4" fillId="3" borderId="14" xfId="2" applyNumberFormat="1" applyFont="1" applyFill="1" applyBorder="1" applyAlignment="1">
      <alignment horizontal="center" vertical="center"/>
    </xf>
    <xf numFmtId="2" fontId="4" fillId="3" borderId="14" xfId="2" applyNumberFormat="1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8" fillId="2" borderId="14" xfId="0" applyFont="1" applyFill="1" applyBorder="1" applyAlignment="1" applyProtection="1">
      <alignment vertical="center" wrapText="1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11" fillId="7" borderId="14" xfId="0" applyFont="1" applyFill="1" applyBorder="1" applyAlignment="1">
      <alignment horizontal="center" vertical="center" wrapText="1" readingOrder="1"/>
    </xf>
    <xf numFmtId="49" fontId="4" fillId="2" borderId="13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49" fontId="4" fillId="4" borderId="13" xfId="0" applyNumberFormat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 wrapText="1"/>
    </xf>
    <xf numFmtId="2" fontId="8" fillId="4" borderId="15" xfId="1" applyNumberFormat="1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 readingOrder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 applyProtection="1">
      <alignment horizontal="center" vertical="center"/>
      <protection locked="0"/>
    </xf>
    <xf numFmtId="166" fontId="4" fillId="2" borderId="14" xfId="0" applyNumberFormat="1" applyFont="1" applyFill="1" applyBorder="1" applyAlignment="1" applyProtection="1">
      <alignment horizontal="center" vertical="center"/>
      <protection locked="0"/>
    </xf>
    <xf numFmtId="167" fontId="4" fillId="2" borderId="0" xfId="0" applyNumberFormat="1" applyFont="1" applyFill="1" applyAlignment="1">
      <alignment vertical="center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2" fontId="4" fillId="4" borderId="14" xfId="3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49" fontId="4" fillId="4" borderId="25" xfId="0" applyNumberFormat="1" applyFont="1" applyFill="1" applyBorder="1" applyAlignment="1">
      <alignment horizontal="center" vertical="center"/>
    </xf>
    <xf numFmtId="49" fontId="4" fillId="4" borderId="26" xfId="0" applyNumberFormat="1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horizontal="center" vertical="center"/>
    </xf>
    <xf numFmtId="166" fontId="4" fillId="4" borderId="26" xfId="3" applyNumberFormat="1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 vertical="center"/>
    </xf>
    <xf numFmtId="2" fontId="4" fillId="4" borderId="27" xfId="0" applyNumberFormat="1" applyFont="1" applyFill="1" applyBorder="1" applyAlignment="1">
      <alignment horizontal="center" vertical="center"/>
    </xf>
    <xf numFmtId="49" fontId="14" fillId="4" borderId="14" xfId="0" applyNumberFormat="1" applyFont="1" applyFill="1" applyBorder="1" applyAlignment="1">
      <alignment horizontal="center" vertical="center" wrapText="1"/>
    </xf>
    <xf numFmtId="167" fontId="14" fillId="2" borderId="14" xfId="2" applyNumberFormat="1" applyFont="1" applyFill="1" applyBorder="1" applyAlignment="1">
      <alignment horizontal="center" vertical="center"/>
    </xf>
    <xf numFmtId="0" fontId="15" fillId="3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7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14" fillId="2" borderId="4" xfId="8" applyFont="1" applyFill="1" applyBorder="1" applyAlignment="1">
      <alignment horizontal="center" vertical="center" wrapText="1"/>
    </xf>
    <xf numFmtId="0" fontId="14" fillId="2" borderId="2" xfId="8" applyFont="1" applyFill="1" applyBorder="1" applyAlignment="1">
      <alignment horizontal="center" vertical="center"/>
    </xf>
    <xf numFmtId="0" fontId="14" fillId="2" borderId="6" xfId="8" applyFont="1" applyFill="1" applyBorder="1" applyAlignment="1">
      <alignment horizontal="center" vertical="center"/>
    </xf>
    <xf numFmtId="49" fontId="14" fillId="2" borderId="3" xfId="8" applyNumberFormat="1" applyFont="1" applyFill="1" applyBorder="1" applyAlignment="1">
      <alignment horizontal="center" vertical="center" wrapText="1"/>
    </xf>
    <xf numFmtId="49" fontId="14" fillId="2" borderId="7" xfId="8" applyNumberFormat="1" applyFont="1" applyFill="1" applyBorder="1" applyAlignment="1">
      <alignment horizontal="center" vertical="center" wrapText="1"/>
    </xf>
    <xf numFmtId="0" fontId="14" fillId="2" borderId="8" xfId="8" applyFont="1" applyFill="1" applyBorder="1" applyAlignment="1">
      <alignment horizontal="center" vertical="center" wrapText="1"/>
    </xf>
    <xf numFmtId="0" fontId="14" fillId="2" borderId="4" xfId="8" applyFont="1" applyFill="1" applyBorder="1" applyAlignment="1">
      <alignment horizontal="center" vertical="center"/>
    </xf>
  </cellXfs>
  <cellStyles count="9">
    <cellStyle name="Comma" xfId="6" builtinId="3"/>
    <cellStyle name="Comma 2" xfId="3"/>
    <cellStyle name="Normal" xfId="0" builtinId="0"/>
    <cellStyle name="Normal 2" xfId="1"/>
    <cellStyle name="Normal 2 3" xfId="7"/>
    <cellStyle name="Normal 3 2" xfId="4"/>
    <cellStyle name="Normal 5" xfId="8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4"/>
  <sheetViews>
    <sheetView zoomScaleNormal="100" workbookViewId="0">
      <selection activeCell="C17" sqref="C17"/>
    </sheetView>
  </sheetViews>
  <sheetFormatPr defaultColWidth="9.109375" defaultRowHeight="16.2"/>
  <cols>
    <col min="1" max="1" width="3.44140625" style="36" customWidth="1"/>
    <col min="2" max="2" width="22.44140625" style="36" customWidth="1"/>
    <col min="3" max="3" width="41.44140625" style="36" customWidth="1"/>
    <col min="4" max="4" width="19.6640625" style="53" customWidth="1"/>
    <col min="5" max="5" width="12.33203125" style="54" customWidth="1"/>
    <col min="6" max="6" width="9.109375" style="55" customWidth="1"/>
    <col min="7" max="7" width="17.109375" style="56" customWidth="1"/>
    <col min="8" max="8" width="20.33203125" style="36" customWidth="1"/>
    <col min="9" max="16384" width="9.109375" style="36"/>
  </cols>
  <sheetData>
    <row r="1" spans="1:13" s="35" customFormat="1" ht="44.25" customHeight="1">
      <c r="A1" s="327" t="s">
        <v>114</v>
      </c>
      <c r="B1" s="327"/>
      <c r="C1" s="327"/>
      <c r="D1" s="327"/>
      <c r="E1" s="327"/>
      <c r="F1" s="327"/>
      <c r="G1" s="327"/>
      <c r="H1" s="327"/>
      <c r="I1" s="34"/>
      <c r="J1" s="34"/>
      <c r="K1" s="34"/>
      <c r="L1" s="34"/>
      <c r="M1" s="34"/>
    </row>
    <row r="2" spans="1:13" ht="16.8" thickBot="1">
      <c r="C2" s="37"/>
      <c r="D2" s="328"/>
      <c r="E2" s="328"/>
      <c r="F2" s="328"/>
      <c r="G2" s="328"/>
      <c r="H2" s="328"/>
    </row>
    <row r="3" spans="1:13" ht="15.75" customHeight="1">
      <c r="A3" s="329" t="s">
        <v>29</v>
      </c>
      <c r="B3" s="332" t="s">
        <v>30</v>
      </c>
      <c r="C3" s="332" t="s">
        <v>31</v>
      </c>
      <c r="D3" s="335" t="s">
        <v>39</v>
      </c>
      <c r="E3" s="336"/>
      <c r="F3" s="336"/>
      <c r="G3" s="336"/>
      <c r="H3" s="337"/>
    </row>
    <row r="4" spans="1:13" ht="23.25" customHeight="1">
      <c r="A4" s="330"/>
      <c r="B4" s="333"/>
      <c r="C4" s="333"/>
      <c r="D4" s="338" t="s">
        <v>32</v>
      </c>
      <c r="E4" s="339" t="s">
        <v>33</v>
      </c>
      <c r="F4" s="338" t="s">
        <v>34</v>
      </c>
      <c r="G4" s="338" t="s">
        <v>35</v>
      </c>
      <c r="H4" s="341" t="s">
        <v>27</v>
      </c>
    </row>
    <row r="5" spans="1:13" ht="36" customHeight="1" thickBot="1">
      <c r="A5" s="331"/>
      <c r="B5" s="334"/>
      <c r="C5" s="334"/>
      <c r="D5" s="334"/>
      <c r="E5" s="340"/>
      <c r="F5" s="334"/>
      <c r="G5" s="334"/>
      <c r="H5" s="342"/>
    </row>
    <row r="6" spans="1:13" ht="22.5" customHeight="1" thickBot="1">
      <c r="A6" s="38">
        <v>1</v>
      </c>
      <c r="B6" s="39">
        <v>2</v>
      </c>
      <c r="C6" s="40">
        <v>3</v>
      </c>
      <c r="D6" s="39">
        <v>4</v>
      </c>
      <c r="E6" s="41">
        <v>5</v>
      </c>
      <c r="F6" s="39">
        <v>6</v>
      </c>
      <c r="G6" s="39">
        <v>7</v>
      </c>
      <c r="H6" s="42">
        <v>8</v>
      </c>
    </row>
    <row r="7" spans="1:13" ht="45" customHeight="1" thickBot="1">
      <c r="A7" s="43">
        <v>1</v>
      </c>
      <c r="B7" s="44" t="s">
        <v>28</v>
      </c>
      <c r="C7" s="45" t="s">
        <v>83</v>
      </c>
      <c r="D7" s="90">
        <f>'N1-1 insp_ტექნოლოგიური ნაწილი'!M97</f>
        <v>0</v>
      </c>
      <c r="E7" s="91"/>
      <c r="F7" s="91"/>
      <c r="G7" s="92"/>
      <c r="H7" s="93">
        <f>D7</f>
        <v>0</v>
      </c>
    </row>
    <row r="8" spans="1:13" ht="45" customHeight="1" thickBot="1">
      <c r="A8" s="43">
        <v>2</v>
      </c>
      <c r="B8" s="44" t="s">
        <v>79</v>
      </c>
      <c r="C8" s="45" t="s">
        <v>80</v>
      </c>
      <c r="D8" s="90">
        <f>'N1-2_რკინა-ბეტონის სამუშაოები'!M62</f>
        <v>0</v>
      </c>
      <c r="E8" s="91"/>
      <c r="F8" s="91"/>
      <c r="G8" s="92"/>
      <c r="H8" s="93">
        <f>D8</f>
        <v>0</v>
      </c>
    </row>
    <row r="9" spans="1:13" ht="24" customHeight="1" thickBot="1">
      <c r="A9" s="46"/>
      <c r="B9" s="47"/>
      <c r="C9" s="48" t="s">
        <v>27</v>
      </c>
      <c r="D9" s="94">
        <f>SUM(D7:D8)</f>
        <v>0</v>
      </c>
      <c r="E9" s="95"/>
      <c r="F9" s="95"/>
      <c r="G9" s="96"/>
      <c r="H9" s="97">
        <f>SUM(H7:H8)</f>
        <v>0</v>
      </c>
    </row>
    <row r="10" spans="1:13" ht="24" customHeight="1" thickBot="1">
      <c r="A10" s="59"/>
      <c r="B10" s="60"/>
      <c r="C10" s="61" t="s">
        <v>36</v>
      </c>
      <c r="D10" s="76"/>
      <c r="E10" s="76"/>
      <c r="F10" s="76"/>
      <c r="G10" s="76">
        <f>H9*0.03</f>
        <v>0</v>
      </c>
      <c r="H10" s="98">
        <f>G10</f>
        <v>0</v>
      </c>
    </row>
    <row r="11" spans="1:13" ht="24" customHeight="1" thickBot="1">
      <c r="A11" s="57"/>
      <c r="B11" s="58"/>
      <c r="C11" s="62" t="s">
        <v>11</v>
      </c>
      <c r="D11" s="99">
        <f>D9</f>
        <v>0</v>
      </c>
      <c r="E11" s="100"/>
      <c r="F11" s="100"/>
      <c r="G11" s="77">
        <f>G10</f>
        <v>0</v>
      </c>
      <c r="H11" s="101">
        <f>H9+H10</f>
        <v>0</v>
      </c>
    </row>
    <row r="12" spans="1:13" ht="33" thickBot="1">
      <c r="A12" s="57"/>
      <c r="B12" s="58"/>
      <c r="C12" s="25" t="s">
        <v>37</v>
      </c>
      <c r="D12" s="102"/>
      <c r="E12" s="100"/>
      <c r="F12" s="100"/>
      <c r="G12" s="78">
        <f>('N1-1 insp_ტექნოლოგიური ნაწილი'!J95+'N1-2_რკინა-ბეტონის სამუშაოები'!J60)*2%</f>
        <v>0</v>
      </c>
      <c r="H12" s="101">
        <f>G12</f>
        <v>0</v>
      </c>
    </row>
    <row r="13" spans="1:13" ht="25.5" customHeight="1" thickBot="1">
      <c r="A13" s="57"/>
      <c r="B13" s="58"/>
      <c r="C13" s="62" t="s">
        <v>27</v>
      </c>
      <c r="D13" s="99">
        <f>D11</f>
        <v>0</v>
      </c>
      <c r="E13" s="100"/>
      <c r="F13" s="100"/>
      <c r="G13" s="77">
        <f>SUM(G11:G12)</f>
        <v>0</v>
      </c>
      <c r="H13" s="101">
        <f>H11+H12</f>
        <v>0</v>
      </c>
    </row>
    <row r="14" spans="1:13" s="49" customFormat="1" ht="17.25" customHeight="1">
      <c r="C14" s="50"/>
      <c r="D14" s="51"/>
      <c r="E14" s="51"/>
      <c r="F14" s="51"/>
      <c r="G14" s="51"/>
      <c r="H14" s="52"/>
    </row>
  </sheetData>
  <mergeCells count="11">
    <mergeCell ref="A1:H1"/>
    <mergeCell ref="D2:H2"/>
    <mergeCell ref="A3:A5"/>
    <mergeCell ref="B3:B5"/>
    <mergeCell ref="C3:C5"/>
    <mergeCell ref="D3:H3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84" orientation="landscape" r:id="rId1"/>
  <ignoredErrors>
    <ignoredError sqref="H11:H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opLeftCell="A37" zoomScaleNormal="100" zoomScaleSheetLayoutView="84" workbookViewId="0">
      <selection activeCell="I12" sqref="I12"/>
    </sheetView>
  </sheetViews>
  <sheetFormatPr defaultColWidth="9.109375" defaultRowHeight="16.2"/>
  <cols>
    <col min="1" max="1" width="6.33203125" style="85" customWidth="1"/>
    <col min="2" max="2" width="12.109375" style="28" customWidth="1"/>
    <col min="3" max="3" width="37.5546875" style="113" customWidth="1"/>
    <col min="4" max="4" width="8.5546875" style="113" customWidth="1"/>
    <col min="5" max="5" width="9.44140625" style="113" customWidth="1"/>
    <col min="6" max="6" width="12.5546875" style="113" bestFit="1" customWidth="1"/>
    <col min="7" max="7" width="10.88671875" style="113" customWidth="1"/>
    <col min="8" max="8" width="14.109375" style="113" customWidth="1"/>
    <col min="9" max="9" width="9.5546875" style="113" customWidth="1"/>
    <col min="10" max="10" width="13.109375" style="113" customWidth="1"/>
    <col min="11" max="11" width="10.109375" style="113" customWidth="1"/>
    <col min="12" max="12" width="13.44140625" style="113" customWidth="1"/>
    <col min="13" max="13" width="16.109375" style="113" customWidth="1"/>
    <col min="14" max="16384" width="9.109375" style="113"/>
  </cols>
  <sheetData>
    <row r="1" spans="1:13" ht="16.2" customHeight="1">
      <c r="A1" s="344" t="s">
        <v>148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43.2" customHeigh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</row>
    <row r="3" spans="1:13" ht="6.75" customHeight="1">
      <c r="A3" s="80"/>
      <c r="B3" s="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25.5" customHeight="1">
      <c r="A4" s="345" t="s">
        <v>82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</row>
    <row r="5" spans="1:13" ht="6.75" customHeight="1" thickBot="1">
      <c r="A5" s="80"/>
      <c r="B5" s="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ht="24" customHeight="1">
      <c r="A6" s="346" t="s">
        <v>0</v>
      </c>
      <c r="B6" s="348" t="s">
        <v>1</v>
      </c>
      <c r="C6" s="343" t="s">
        <v>2</v>
      </c>
      <c r="D6" s="343" t="s">
        <v>3</v>
      </c>
      <c r="E6" s="343" t="s">
        <v>4</v>
      </c>
      <c r="F6" s="343" t="s">
        <v>5</v>
      </c>
      <c r="G6" s="351" t="s">
        <v>6</v>
      </c>
      <c r="H6" s="351"/>
      <c r="I6" s="351" t="s">
        <v>7</v>
      </c>
      <c r="J6" s="351"/>
      <c r="K6" s="343" t="s">
        <v>8</v>
      </c>
      <c r="L6" s="343"/>
      <c r="M6" s="2" t="s">
        <v>9</v>
      </c>
    </row>
    <row r="7" spans="1:13" ht="39.75" customHeight="1" thickBot="1">
      <c r="A7" s="347"/>
      <c r="B7" s="349"/>
      <c r="C7" s="350"/>
      <c r="D7" s="350"/>
      <c r="E7" s="350"/>
      <c r="F7" s="350"/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12</v>
      </c>
      <c r="M7" s="5" t="s">
        <v>13</v>
      </c>
    </row>
    <row r="8" spans="1:13" ht="16.8" thickBot="1">
      <c r="A8" s="81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8">
        <v>8</v>
      </c>
      <c r="I8" s="7">
        <v>9</v>
      </c>
      <c r="J8" s="8">
        <v>10</v>
      </c>
      <c r="K8" s="7">
        <v>11</v>
      </c>
      <c r="L8" s="8">
        <v>12</v>
      </c>
      <c r="M8" s="9">
        <v>13</v>
      </c>
    </row>
    <row r="9" spans="1:13" s="105" customFormat="1" ht="60">
      <c r="A9" s="275">
        <v>1</v>
      </c>
      <c r="B9" s="325" t="s">
        <v>116</v>
      </c>
      <c r="C9" s="135" t="s">
        <v>147</v>
      </c>
      <c r="D9" s="276" t="s">
        <v>89</v>
      </c>
      <c r="E9" s="276"/>
      <c r="F9" s="290">
        <v>52.4</v>
      </c>
      <c r="G9" s="276"/>
      <c r="H9" s="277"/>
      <c r="I9" s="276"/>
      <c r="J9" s="277"/>
      <c r="K9" s="276"/>
      <c r="L9" s="277"/>
      <c r="M9" s="278"/>
    </row>
    <row r="10" spans="1:13" s="105" customFormat="1" ht="32.4">
      <c r="A10" s="273"/>
      <c r="B10" s="274"/>
      <c r="C10" s="177" t="s">
        <v>15</v>
      </c>
      <c r="D10" s="118" t="s">
        <v>16</v>
      </c>
      <c r="E10" s="119">
        <f>26.8/1000</f>
        <v>2.6800000000000001E-2</v>
      </c>
      <c r="F10" s="119">
        <f>F9*E10</f>
        <v>1.40432</v>
      </c>
      <c r="G10" s="118"/>
      <c r="H10" s="119"/>
      <c r="I10" s="128"/>
      <c r="J10" s="119">
        <f>F10*I10</f>
        <v>0</v>
      </c>
      <c r="K10" s="118"/>
      <c r="L10" s="119"/>
      <c r="M10" s="121">
        <f>J10</f>
        <v>0</v>
      </c>
    </row>
    <row r="11" spans="1:13" s="105" customFormat="1">
      <c r="A11" s="273"/>
      <c r="B11" s="274"/>
      <c r="C11" s="177" t="s">
        <v>149</v>
      </c>
      <c r="D11" s="118" t="s">
        <v>16</v>
      </c>
      <c r="E11" s="119">
        <f>77.6/1000</f>
        <v>7.7599999999999988E-2</v>
      </c>
      <c r="F11" s="119">
        <f>F9*E11</f>
        <v>4.0662399999999996</v>
      </c>
      <c r="G11" s="118"/>
      <c r="H11" s="119"/>
      <c r="I11" s="128"/>
      <c r="J11" s="119">
        <f>F11*I11</f>
        <v>0</v>
      </c>
      <c r="K11" s="118"/>
      <c r="L11" s="119"/>
      <c r="M11" s="121">
        <f>J11</f>
        <v>0</v>
      </c>
    </row>
    <row r="12" spans="1:13" s="105" customFormat="1" ht="32.4">
      <c r="A12" s="273"/>
      <c r="B12" s="274"/>
      <c r="C12" s="177" t="s">
        <v>68</v>
      </c>
      <c r="D12" s="118" t="s">
        <v>150</v>
      </c>
      <c r="E12" s="119">
        <f>77.6/1000</f>
        <v>7.7599999999999988E-2</v>
      </c>
      <c r="F12" s="119">
        <f>F9*E12</f>
        <v>4.0662399999999996</v>
      </c>
      <c r="G12" s="118"/>
      <c r="H12" s="119"/>
      <c r="I12" s="118"/>
      <c r="J12" s="119"/>
      <c r="K12" s="118"/>
      <c r="L12" s="119">
        <f>F12*K12</f>
        <v>0</v>
      </c>
      <c r="M12" s="121">
        <f>L12</f>
        <v>0</v>
      </c>
    </row>
    <row r="13" spans="1:13" s="105" customFormat="1" ht="30">
      <c r="A13" s="275">
        <v>2</v>
      </c>
      <c r="B13" s="325" t="s">
        <v>115</v>
      </c>
      <c r="C13" s="135" t="s">
        <v>151</v>
      </c>
      <c r="D13" s="276" t="s">
        <v>89</v>
      </c>
      <c r="E13" s="276"/>
      <c r="F13" s="277">
        <v>78.599999999999994</v>
      </c>
      <c r="G13" s="276"/>
      <c r="H13" s="277"/>
      <c r="I13" s="276"/>
      <c r="J13" s="277"/>
      <c r="K13" s="276"/>
      <c r="L13" s="277"/>
      <c r="M13" s="278"/>
    </row>
    <row r="14" spans="1:13" s="105" customFormat="1" ht="15">
      <c r="A14" s="273"/>
      <c r="B14" s="274"/>
      <c r="C14" s="117" t="s">
        <v>70</v>
      </c>
      <c r="D14" s="118" t="s">
        <v>16</v>
      </c>
      <c r="E14" s="128">
        <f>597/100</f>
        <v>5.97</v>
      </c>
      <c r="F14" s="119">
        <f>F13*E14</f>
        <v>469.24199999999996</v>
      </c>
      <c r="G14" s="118"/>
      <c r="H14" s="119"/>
      <c r="I14" s="128"/>
      <c r="J14" s="119">
        <f>F14*I14</f>
        <v>0</v>
      </c>
      <c r="K14" s="118"/>
      <c r="L14" s="119"/>
      <c r="M14" s="121">
        <f>J14</f>
        <v>0</v>
      </c>
    </row>
    <row r="15" spans="1:13" s="105" customFormat="1" ht="15">
      <c r="A15" s="273"/>
      <c r="B15" s="274"/>
      <c r="C15" s="117" t="s">
        <v>152</v>
      </c>
      <c r="D15" s="118" t="s">
        <v>150</v>
      </c>
      <c r="E15" s="119">
        <f>410/100</f>
        <v>4.0999999999999996</v>
      </c>
      <c r="F15" s="119">
        <f>F13*E15</f>
        <v>322.25999999999993</v>
      </c>
      <c r="G15" s="118"/>
      <c r="H15" s="119"/>
      <c r="I15" s="118"/>
      <c r="J15" s="119"/>
      <c r="K15" s="118"/>
      <c r="L15" s="119">
        <f>F15*K15</f>
        <v>0</v>
      </c>
      <c r="M15" s="121">
        <f>L15</f>
        <v>0</v>
      </c>
    </row>
    <row r="16" spans="1:13" s="105" customFormat="1" ht="45">
      <c r="A16" s="133">
        <v>3</v>
      </c>
      <c r="B16" s="134" t="s">
        <v>103</v>
      </c>
      <c r="C16" s="135" t="s">
        <v>153</v>
      </c>
      <c r="D16" s="136" t="s">
        <v>117</v>
      </c>
      <c r="E16" s="137"/>
      <c r="F16" s="269">
        <v>30</v>
      </c>
      <c r="G16" s="137"/>
      <c r="H16" s="134"/>
      <c r="I16" s="137"/>
      <c r="J16" s="134"/>
      <c r="K16" s="137"/>
      <c r="L16" s="138"/>
      <c r="M16" s="139"/>
    </row>
    <row r="17" spans="1:13" s="105" customFormat="1" ht="30">
      <c r="A17" s="114"/>
      <c r="B17" s="115"/>
      <c r="C17" s="117" t="s">
        <v>15</v>
      </c>
      <c r="D17" s="118" t="s">
        <v>16</v>
      </c>
      <c r="E17" s="119">
        <f>47.4/1000</f>
        <v>4.7399999999999998E-2</v>
      </c>
      <c r="F17" s="119">
        <f>F16*E17</f>
        <v>1.4219999999999999</v>
      </c>
      <c r="G17" s="118"/>
      <c r="H17" s="119"/>
      <c r="I17" s="128"/>
      <c r="J17" s="119">
        <f>F17*I17</f>
        <v>0</v>
      </c>
      <c r="K17" s="118"/>
      <c r="L17" s="119"/>
      <c r="M17" s="121">
        <f>J17</f>
        <v>0</v>
      </c>
    </row>
    <row r="18" spans="1:13" s="105" customFormat="1" ht="15">
      <c r="A18" s="114"/>
      <c r="B18" s="115"/>
      <c r="C18" s="117" t="s">
        <v>149</v>
      </c>
      <c r="D18" s="118" t="s">
        <v>16</v>
      </c>
      <c r="E18" s="288">
        <f>2.95/1000</f>
        <v>2.9500000000000004E-3</v>
      </c>
      <c r="F18" s="119">
        <f>F17*E18</f>
        <v>4.1949000000000005E-3</v>
      </c>
      <c r="G18" s="118"/>
      <c r="H18" s="119"/>
      <c r="I18" s="128"/>
      <c r="J18" s="119">
        <f>F18*I18</f>
        <v>0</v>
      </c>
      <c r="K18" s="118"/>
      <c r="L18" s="119"/>
      <c r="M18" s="121">
        <f>J18</f>
        <v>0</v>
      </c>
    </row>
    <row r="19" spans="1:13" s="105" customFormat="1" ht="30">
      <c r="A19" s="114"/>
      <c r="B19" s="116"/>
      <c r="C19" s="122" t="s">
        <v>154</v>
      </c>
      <c r="D19" s="118" t="s">
        <v>150</v>
      </c>
      <c r="E19" s="123">
        <v>0.08</v>
      </c>
      <c r="F19" s="120">
        <f>F16*E19</f>
        <v>2.4</v>
      </c>
      <c r="G19" s="120"/>
      <c r="H19" s="120"/>
      <c r="I19" s="120"/>
      <c r="J19" s="124"/>
      <c r="K19" s="125"/>
      <c r="L19" s="126">
        <f>F19*K19</f>
        <v>0</v>
      </c>
      <c r="M19" s="127">
        <f>L19</f>
        <v>0</v>
      </c>
    </row>
    <row r="20" spans="1:13" s="105" customFormat="1" ht="15">
      <c r="A20" s="114"/>
      <c r="B20" s="116"/>
      <c r="C20" s="122" t="s">
        <v>18</v>
      </c>
      <c r="D20" s="120" t="s">
        <v>19</v>
      </c>
      <c r="E20" s="123">
        <f>0.12</f>
        <v>0.12</v>
      </c>
      <c r="F20" s="126">
        <f>F16*E20</f>
        <v>3.5999999999999996</v>
      </c>
      <c r="G20" s="120"/>
      <c r="H20" s="120"/>
      <c r="I20" s="120"/>
      <c r="J20" s="124"/>
      <c r="K20" s="125"/>
      <c r="L20" s="126">
        <f>F20*K20</f>
        <v>0</v>
      </c>
      <c r="M20" s="127">
        <f>L20</f>
        <v>0</v>
      </c>
    </row>
    <row r="21" spans="1:13" s="105" customFormat="1" ht="30">
      <c r="A21" s="133">
        <v>4</v>
      </c>
      <c r="B21" s="134" t="s">
        <v>45</v>
      </c>
      <c r="C21" s="135" t="s">
        <v>47</v>
      </c>
      <c r="D21" s="136" t="s">
        <v>46</v>
      </c>
      <c r="E21" s="137"/>
      <c r="F21" s="269">
        <f>F9+F13</f>
        <v>131</v>
      </c>
      <c r="G21" s="137"/>
      <c r="H21" s="134"/>
      <c r="I21" s="137"/>
      <c r="J21" s="134"/>
      <c r="K21" s="137"/>
      <c r="L21" s="138"/>
      <c r="M21" s="139"/>
    </row>
    <row r="22" spans="1:13" s="105" customFormat="1">
      <c r="A22" s="114"/>
      <c r="B22" s="115"/>
      <c r="C22" s="117" t="s">
        <v>149</v>
      </c>
      <c r="D22" s="178" t="s">
        <v>16</v>
      </c>
      <c r="E22" s="119">
        <f>13.6/100</f>
        <v>0.13600000000000001</v>
      </c>
      <c r="F22" s="126">
        <f>F21*E22</f>
        <v>17.816000000000003</v>
      </c>
      <c r="G22" s="118"/>
      <c r="H22" s="119"/>
      <c r="I22" s="128"/>
      <c r="J22" s="119">
        <f>F22*I22</f>
        <v>0</v>
      </c>
      <c r="K22" s="118"/>
      <c r="L22" s="119"/>
      <c r="M22" s="121">
        <f>J22</f>
        <v>0</v>
      </c>
    </row>
    <row r="23" spans="1:13" s="105" customFormat="1" ht="15">
      <c r="A23" s="114"/>
      <c r="B23" s="116"/>
      <c r="C23" s="122" t="s">
        <v>155</v>
      </c>
      <c r="D23" s="118" t="s">
        <v>150</v>
      </c>
      <c r="E23" s="123">
        <v>0.13600000000000001</v>
      </c>
      <c r="F23" s="126">
        <f>F21*E23</f>
        <v>17.816000000000003</v>
      </c>
      <c r="G23" s="120"/>
      <c r="H23" s="120"/>
      <c r="I23" s="120"/>
      <c r="J23" s="124"/>
      <c r="K23" s="125"/>
      <c r="L23" s="126">
        <f>F23*K23</f>
        <v>0</v>
      </c>
      <c r="M23" s="127">
        <f>L23</f>
        <v>0</v>
      </c>
    </row>
    <row r="24" spans="1:13" s="73" customFormat="1" ht="32.4">
      <c r="A24" s="241" t="s">
        <v>120</v>
      </c>
      <c r="B24" s="235" t="s">
        <v>84</v>
      </c>
      <c r="C24" s="242" t="s">
        <v>118</v>
      </c>
      <c r="D24" s="243" t="s">
        <v>14</v>
      </c>
      <c r="E24" s="170"/>
      <c r="F24" s="272">
        <v>11.4</v>
      </c>
      <c r="G24" s="170"/>
      <c r="H24" s="171"/>
      <c r="I24" s="170"/>
      <c r="J24" s="171"/>
      <c r="K24" s="170"/>
      <c r="L24" s="171"/>
      <c r="M24" s="172"/>
    </row>
    <row r="25" spans="1:13" s="73" customFormat="1" ht="27.75" customHeight="1">
      <c r="A25" s="229"/>
      <c r="B25" s="176"/>
      <c r="C25" s="177" t="s">
        <v>70</v>
      </c>
      <c r="D25" s="178" t="s">
        <v>16</v>
      </c>
      <c r="E25" s="179">
        <v>0.89</v>
      </c>
      <c r="F25" s="179">
        <f>F24*E25</f>
        <v>10.146000000000001</v>
      </c>
      <c r="G25" s="178"/>
      <c r="H25" s="179"/>
      <c r="I25" s="179"/>
      <c r="J25" s="179">
        <f>F25*I25</f>
        <v>0</v>
      </c>
      <c r="K25" s="178"/>
      <c r="L25" s="179"/>
      <c r="M25" s="181">
        <f>H25+J25+L25</f>
        <v>0</v>
      </c>
    </row>
    <row r="26" spans="1:13" s="73" customFormat="1" ht="27.75" customHeight="1">
      <c r="A26" s="229"/>
      <c r="B26" s="176"/>
      <c r="C26" s="177" t="s">
        <v>21</v>
      </c>
      <c r="D26" s="178" t="s">
        <v>19</v>
      </c>
      <c r="E26" s="179">
        <v>0.37</v>
      </c>
      <c r="F26" s="179">
        <f>F24*E26</f>
        <v>4.218</v>
      </c>
      <c r="G26" s="178"/>
      <c r="H26" s="179"/>
      <c r="I26" s="180"/>
      <c r="J26" s="179"/>
      <c r="K26" s="180"/>
      <c r="L26" s="179">
        <f>K26*F26</f>
        <v>0</v>
      </c>
      <c r="M26" s="181">
        <f>H26+J26+L26</f>
        <v>0</v>
      </c>
    </row>
    <row r="27" spans="1:13" s="73" customFormat="1" ht="27.75" customHeight="1">
      <c r="A27" s="229"/>
      <c r="B27" s="176"/>
      <c r="C27" s="176" t="s">
        <v>22</v>
      </c>
      <c r="D27" s="178"/>
      <c r="E27" s="178"/>
      <c r="F27" s="179"/>
      <c r="G27" s="178"/>
      <c r="H27" s="179"/>
      <c r="I27" s="178"/>
      <c r="J27" s="179"/>
      <c r="K27" s="178"/>
      <c r="L27" s="179"/>
      <c r="M27" s="181"/>
    </row>
    <row r="28" spans="1:13" s="73" customFormat="1" ht="27.75" customHeight="1">
      <c r="A28" s="229"/>
      <c r="B28" s="270" t="s">
        <v>73</v>
      </c>
      <c r="C28" s="240" t="s">
        <v>119</v>
      </c>
      <c r="D28" s="178" t="s">
        <v>14</v>
      </c>
      <c r="E28" s="179">
        <v>1.1499999999999999</v>
      </c>
      <c r="F28" s="180">
        <f>E28*F24</f>
        <v>13.11</v>
      </c>
      <c r="G28" s="165"/>
      <c r="H28" s="180">
        <f>F28*G28</f>
        <v>0</v>
      </c>
      <c r="I28" s="178"/>
      <c r="J28" s="179"/>
      <c r="K28" s="178"/>
      <c r="L28" s="179"/>
      <c r="M28" s="271">
        <f>H28+J28+L28</f>
        <v>0</v>
      </c>
    </row>
    <row r="29" spans="1:13" s="73" customFormat="1" ht="27.75" customHeight="1">
      <c r="A29" s="229"/>
      <c r="B29" s="176"/>
      <c r="C29" s="177" t="s">
        <v>23</v>
      </c>
      <c r="D29" s="178" t="s">
        <v>19</v>
      </c>
      <c r="E29" s="179">
        <v>0.02</v>
      </c>
      <c r="F29" s="179">
        <f>F24*E29</f>
        <v>0.22800000000000001</v>
      </c>
      <c r="G29" s="180"/>
      <c r="H29" s="179">
        <f>G29*F29</f>
        <v>0</v>
      </c>
      <c r="I29" s="178"/>
      <c r="J29" s="179"/>
      <c r="K29" s="178"/>
      <c r="L29" s="179"/>
      <c r="M29" s="181">
        <f>H29+J29+L29</f>
        <v>0</v>
      </c>
    </row>
    <row r="30" spans="1:13" s="73" customFormat="1" ht="32.4">
      <c r="A30" s="241" t="s">
        <v>43</v>
      </c>
      <c r="B30" s="235" t="s">
        <v>84</v>
      </c>
      <c r="C30" s="242" t="s">
        <v>121</v>
      </c>
      <c r="D30" s="243" t="s">
        <v>14</v>
      </c>
      <c r="E30" s="170"/>
      <c r="F30" s="272">
        <v>98.4</v>
      </c>
      <c r="G30" s="170"/>
      <c r="H30" s="171"/>
      <c r="I30" s="170"/>
      <c r="J30" s="171"/>
      <c r="K30" s="170"/>
      <c r="L30" s="171"/>
      <c r="M30" s="172"/>
    </row>
    <row r="31" spans="1:13" s="73" customFormat="1" ht="27.75" customHeight="1">
      <c r="A31" s="229"/>
      <c r="B31" s="176"/>
      <c r="C31" s="177" t="s">
        <v>70</v>
      </c>
      <c r="D31" s="178" t="s">
        <v>16</v>
      </c>
      <c r="E31" s="179">
        <v>0.89</v>
      </c>
      <c r="F31" s="179">
        <f>F30*E31</f>
        <v>87.576000000000008</v>
      </c>
      <c r="G31" s="178"/>
      <c r="H31" s="179"/>
      <c r="I31" s="179"/>
      <c r="J31" s="179">
        <f>F31*I31</f>
        <v>0</v>
      </c>
      <c r="K31" s="178"/>
      <c r="L31" s="179"/>
      <c r="M31" s="181">
        <f>H31+J31+L31</f>
        <v>0</v>
      </c>
    </row>
    <row r="32" spans="1:13" s="73" customFormat="1" ht="27.75" customHeight="1">
      <c r="A32" s="229"/>
      <c r="B32" s="176"/>
      <c r="C32" s="177" t="s">
        <v>21</v>
      </c>
      <c r="D32" s="178" t="s">
        <v>19</v>
      </c>
      <c r="E32" s="179">
        <v>0.37</v>
      </c>
      <c r="F32" s="179">
        <f>F30*E32</f>
        <v>36.408000000000001</v>
      </c>
      <c r="G32" s="178"/>
      <c r="H32" s="179"/>
      <c r="I32" s="180"/>
      <c r="J32" s="179"/>
      <c r="K32" s="180"/>
      <c r="L32" s="179">
        <f>K32*F32</f>
        <v>0</v>
      </c>
      <c r="M32" s="181">
        <f>H32+J32+L32</f>
        <v>0</v>
      </c>
    </row>
    <row r="33" spans="1:13" s="73" customFormat="1" ht="27.75" customHeight="1">
      <c r="A33" s="229"/>
      <c r="B33" s="176"/>
      <c r="C33" s="176" t="s">
        <v>22</v>
      </c>
      <c r="D33" s="178"/>
      <c r="E33" s="178"/>
      <c r="F33" s="179"/>
      <c r="G33" s="178"/>
      <c r="H33" s="179"/>
      <c r="I33" s="178"/>
      <c r="J33" s="179"/>
      <c r="K33" s="178"/>
      <c r="L33" s="179"/>
      <c r="M33" s="181"/>
    </row>
    <row r="34" spans="1:13" s="73" customFormat="1" ht="27.75" customHeight="1">
      <c r="A34" s="229"/>
      <c r="B34" s="270" t="s">
        <v>73</v>
      </c>
      <c r="C34" s="240" t="s">
        <v>122</v>
      </c>
      <c r="D34" s="178" t="s">
        <v>14</v>
      </c>
      <c r="E34" s="179">
        <v>1.1499999999999999</v>
      </c>
      <c r="F34" s="180">
        <f>E34*F30</f>
        <v>113.16</v>
      </c>
      <c r="G34" s="165"/>
      <c r="H34" s="180">
        <f>F34*G34</f>
        <v>0</v>
      </c>
      <c r="I34" s="178"/>
      <c r="J34" s="179"/>
      <c r="K34" s="178"/>
      <c r="L34" s="179"/>
      <c r="M34" s="271">
        <f>H34+J34+L34</f>
        <v>0</v>
      </c>
    </row>
    <row r="35" spans="1:13" s="73" customFormat="1" ht="27.75" customHeight="1">
      <c r="A35" s="229"/>
      <c r="B35" s="176"/>
      <c r="C35" s="177" t="s">
        <v>23</v>
      </c>
      <c r="D35" s="178" t="s">
        <v>19</v>
      </c>
      <c r="E35" s="179">
        <v>0.02</v>
      </c>
      <c r="F35" s="179">
        <f>F30*E35</f>
        <v>1.9680000000000002</v>
      </c>
      <c r="G35" s="180"/>
      <c r="H35" s="179">
        <f>G35*F35</f>
        <v>0</v>
      </c>
      <c r="I35" s="178"/>
      <c r="J35" s="179"/>
      <c r="K35" s="178"/>
      <c r="L35" s="179"/>
      <c r="M35" s="181">
        <f>H35+J35+L35</f>
        <v>0</v>
      </c>
    </row>
    <row r="36" spans="1:13" s="65" customFormat="1" ht="48.6">
      <c r="A36" s="226">
        <v>7</v>
      </c>
      <c r="B36" s="140" t="s">
        <v>85</v>
      </c>
      <c r="C36" s="194" t="s">
        <v>126</v>
      </c>
      <c r="D36" s="141" t="s">
        <v>24</v>
      </c>
      <c r="E36" s="141"/>
      <c r="F36" s="287">
        <v>38</v>
      </c>
      <c r="G36" s="141"/>
      <c r="H36" s="227"/>
      <c r="I36" s="141"/>
      <c r="J36" s="227"/>
      <c r="K36" s="141"/>
      <c r="L36" s="227"/>
      <c r="M36" s="191"/>
    </row>
    <row r="37" spans="1:13" s="65" customFormat="1" ht="32.4">
      <c r="A37" s="186"/>
      <c r="B37" s="66"/>
      <c r="C37" s="67" t="s">
        <v>15</v>
      </c>
      <c r="D37" s="64" t="s">
        <v>16</v>
      </c>
      <c r="E37" s="284">
        <f>426/1000</f>
        <v>0.42599999999999999</v>
      </c>
      <c r="F37" s="188">
        <f>F36*E37</f>
        <v>16.187999999999999</v>
      </c>
      <c r="G37" s="64"/>
      <c r="H37" s="188"/>
      <c r="I37" s="192"/>
      <c r="J37" s="188">
        <f>F37*I37</f>
        <v>0</v>
      </c>
      <c r="K37" s="64"/>
      <c r="L37" s="188"/>
      <c r="M37" s="189">
        <f>H37+J37+L37</f>
        <v>0</v>
      </c>
    </row>
    <row r="38" spans="1:13" s="65" customFormat="1" ht="25.5" customHeight="1">
      <c r="A38" s="186"/>
      <c r="B38" s="66"/>
      <c r="C38" s="104" t="s">
        <v>18</v>
      </c>
      <c r="D38" s="279" t="s">
        <v>19</v>
      </c>
      <c r="E38" s="285">
        <f>41.1/1000</f>
        <v>4.1100000000000005E-2</v>
      </c>
      <c r="F38" s="188">
        <f>F36*E38</f>
        <v>1.5618000000000001</v>
      </c>
      <c r="G38" s="279"/>
      <c r="H38" s="279"/>
      <c r="I38" s="279"/>
      <c r="J38" s="280"/>
      <c r="K38" s="281"/>
      <c r="L38" s="281">
        <f>F38*K38</f>
        <v>0</v>
      </c>
      <c r="M38" s="189">
        <f>H38+J38+L38</f>
        <v>0</v>
      </c>
    </row>
    <row r="39" spans="1:13" s="65" customFormat="1" ht="25.5" customHeight="1">
      <c r="A39" s="186"/>
      <c r="B39" s="66"/>
      <c r="C39" s="66" t="s">
        <v>22</v>
      </c>
      <c r="D39" s="64"/>
      <c r="E39" s="286"/>
      <c r="F39" s="188"/>
      <c r="G39" s="64"/>
      <c r="H39" s="188"/>
      <c r="I39" s="64"/>
      <c r="J39" s="188"/>
      <c r="K39" s="64"/>
      <c r="L39" s="188"/>
      <c r="M39" s="189"/>
    </row>
    <row r="40" spans="1:13" s="65" customFormat="1">
      <c r="A40" s="186"/>
      <c r="B40" s="282" t="s">
        <v>40</v>
      </c>
      <c r="C40" s="283" t="s">
        <v>86</v>
      </c>
      <c r="D40" s="64" t="s">
        <v>24</v>
      </c>
      <c r="E40" s="286">
        <f>998/1000</f>
        <v>0.998</v>
      </c>
      <c r="F40" s="188">
        <f>E40*F36</f>
        <v>37.923999999999999</v>
      </c>
      <c r="G40" s="310"/>
      <c r="H40" s="188">
        <f>F40*G40</f>
        <v>0</v>
      </c>
      <c r="I40" s="64"/>
      <c r="J40" s="188"/>
      <c r="K40" s="64"/>
      <c r="L40" s="188"/>
      <c r="M40" s="189">
        <f>H40+J40+L40</f>
        <v>0</v>
      </c>
    </row>
    <row r="41" spans="1:13" s="65" customFormat="1" ht="25.5" customHeight="1">
      <c r="A41" s="186"/>
      <c r="B41" s="66"/>
      <c r="C41" s="67" t="s">
        <v>23</v>
      </c>
      <c r="D41" s="64" t="s">
        <v>19</v>
      </c>
      <c r="E41" s="284">
        <f>61.8/1000</f>
        <v>6.1799999999999994E-2</v>
      </c>
      <c r="F41" s="188">
        <f>F36*E41</f>
        <v>2.3483999999999998</v>
      </c>
      <c r="G41" s="64"/>
      <c r="H41" s="188">
        <f>G41*F41</f>
        <v>0</v>
      </c>
      <c r="I41" s="64"/>
      <c r="J41" s="188"/>
      <c r="K41" s="64"/>
      <c r="L41" s="188"/>
      <c r="M41" s="189">
        <f>H41+J41+L41</f>
        <v>0</v>
      </c>
    </row>
    <row r="42" spans="1:13" s="105" customFormat="1" ht="67.5" customHeight="1">
      <c r="A42" s="275">
        <v>8</v>
      </c>
      <c r="B42" s="134" t="s">
        <v>123</v>
      </c>
      <c r="C42" s="135" t="s">
        <v>124</v>
      </c>
      <c r="D42" s="276" t="s">
        <v>88</v>
      </c>
      <c r="E42" s="276"/>
      <c r="F42" s="290">
        <v>5.5</v>
      </c>
      <c r="G42" s="276"/>
      <c r="H42" s="277"/>
      <c r="I42" s="276"/>
      <c r="J42" s="277"/>
      <c r="K42" s="276"/>
      <c r="L42" s="277"/>
      <c r="M42" s="278"/>
    </row>
    <row r="43" spans="1:13" s="105" customFormat="1" ht="30">
      <c r="A43" s="273"/>
      <c r="B43" s="274"/>
      <c r="C43" s="117" t="s">
        <v>15</v>
      </c>
      <c r="D43" s="64" t="s">
        <v>16</v>
      </c>
      <c r="E43" s="288">
        <f>181/1000</f>
        <v>0.18099999999999999</v>
      </c>
      <c r="F43" s="119">
        <f>F42*E43</f>
        <v>0.99549999999999994</v>
      </c>
      <c r="G43" s="118"/>
      <c r="H43" s="119"/>
      <c r="I43" s="118"/>
      <c r="J43" s="119">
        <f>F43*I43</f>
        <v>0</v>
      </c>
      <c r="K43" s="118"/>
      <c r="L43" s="119"/>
      <c r="M43" s="121">
        <f>L43+J43+H43</f>
        <v>0</v>
      </c>
    </row>
    <row r="44" spans="1:13" s="105" customFormat="1" ht="28.5" customHeight="1">
      <c r="A44" s="273"/>
      <c r="B44" s="274"/>
      <c r="C44" s="122" t="s">
        <v>18</v>
      </c>
      <c r="D44" s="64" t="s">
        <v>19</v>
      </c>
      <c r="E44" s="326">
        <f>92.1/1000</f>
        <v>9.2099999999999987E-2</v>
      </c>
      <c r="F44" s="119">
        <f>F42*E44</f>
        <v>0.50654999999999994</v>
      </c>
      <c r="G44" s="120"/>
      <c r="H44" s="120"/>
      <c r="I44" s="120"/>
      <c r="J44" s="124"/>
      <c r="K44" s="126"/>
      <c r="L44" s="126">
        <f>F44*K44</f>
        <v>0</v>
      </c>
      <c r="M44" s="121">
        <f>L44+J44+H44</f>
        <v>0</v>
      </c>
    </row>
    <row r="45" spans="1:13" s="105" customFormat="1" ht="28.5" customHeight="1">
      <c r="A45" s="273"/>
      <c r="B45" s="274"/>
      <c r="C45" s="274" t="s">
        <v>22</v>
      </c>
      <c r="D45" s="118"/>
      <c r="E45" s="118"/>
      <c r="F45" s="119"/>
      <c r="G45" s="118"/>
      <c r="H45" s="119"/>
      <c r="I45" s="118"/>
      <c r="J45" s="119"/>
      <c r="K45" s="118"/>
      <c r="L45" s="119"/>
      <c r="M45" s="121"/>
    </row>
    <row r="46" spans="1:13" s="105" customFormat="1" ht="40.200000000000003" customHeight="1">
      <c r="A46" s="273"/>
      <c r="B46" s="274"/>
      <c r="C46" s="117" t="s">
        <v>125</v>
      </c>
      <c r="D46" s="64" t="s">
        <v>24</v>
      </c>
      <c r="E46" s="118">
        <f>1010/1000</f>
        <v>1.01</v>
      </c>
      <c r="F46" s="128">
        <f>F42*E46</f>
        <v>5.5549999999999997</v>
      </c>
      <c r="G46" s="119"/>
      <c r="H46" s="119">
        <f>F46*G46</f>
        <v>0</v>
      </c>
      <c r="I46" s="118"/>
      <c r="J46" s="119"/>
      <c r="K46" s="118"/>
      <c r="L46" s="119"/>
      <c r="M46" s="121">
        <f>L46+J46+H46</f>
        <v>0</v>
      </c>
    </row>
    <row r="47" spans="1:13" s="105" customFormat="1" ht="28.5" customHeight="1">
      <c r="A47" s="273"/>
      <c r="B47" s="274"/>
      <c r="C47" s="117" t="s">
        <v>23</v>
      </c>
      <c r="D47" s="64" t="s">
        <v>19</v>
      </c>
      <c r="E47" s="289">
        <f>5.16/1000</f>
        <v>5.1600000000000005E-3</v>
      </c>
      <c r="F47" s="119">
        <f>F42*E47</f>
        <v>2.8380000000000002E-2</v>
      </c>
      <c r="G47" s="118"/>
      <c r="H47" s="119">
        <f>G47*F47</f>
        <v>0</v>
      </c>
      <c r="I47" s="118"/>
      <c r="J47" s="119"/>
      <c r="K47" s="118"/>
      <c r="L47" s="119"/>
      <c r="M47" s="121">
        <f>L47+J47+H47</f>
        <v>0</v>
      </c>
    </row>
    <row r="48" spans="1:13" s="105" customFormat="1" ht="60">
      <c r="A48" s="275">
        <v>9</v>
      </c>
      <c r="B48" s="134" t="s">
        <v>87</v>
      </c>
      <c r="C48" s="135" t="s">
        <v>156</v>
      </c>
      <c r="D48" s="276" t="s">
        <v>88</v>
      </c>
      <c r="E48" s="276"/>
      <c r="F48" s="290">
        <v>80</v>
      </c>
      <c r="G48" s="276"/>
      <c r="H48" s="277"/>
      <c r="I48" s="276"/>
      <c r="J48" s="277"/>
      <c r="K48" s="276"/>
      <c r="L48" s="277"/>
      <c r="M48" s="278"/>
    </row>
    <row r="49" spans="1:13" s="105" customFormat="1" ht="30">
      <c r="A49" s="273"/>
      <c r="B49" s="274"/>
      <c r="C49" s="117" t="s">
        <v>15</v>
      </c>
      <c r="D49" s="13" t="s">
        <v>16</v>
      </c>
      <c r="E49" s="288">
        <f>173/1000</f>
        <v>0.17299999999999999</v>
      </c>
      <c r="F49" s="119">
        <f>F48*E49</f>
        <v>13.84</v>
      </c>
      <c r="G49" s="118"/>
      <c r="H49" s="119"/>
      <c r="I49" s="128"/>
      <c r="J49" s="119">
        <f>F49*I49</f>
        <v>0</v>
      </c>
      <c r="K49" s="118"/>
      <c r="L49" s="119"/>
      <c r="M49" s="121">
        <f>J49</f>
        <v>0</v>
      </c>
    </row>
    <row r="50" spans="1:13" s="105" customFormat="1">
      <c r="A50" s="273"/>
      <c r="B50" s="274"/>
      <c r="C50" s="117" t="s">
        <v>149</v>
      </c>
      <c r="D50" s="13" t="s">
        <v>16</v>
      </c>
      <c r="E50" s="289">
        <f>18.1/1000</f>
        <v>1.8100000000000002E-2</v>
      </c>
      <c r="F50" s="119">
        <f>F48*E50</f>
        <v>1.4480000000000002</v>
      </c>
      <c r="G50" s="118"/>
      <c r="H50" s="119"/>
      <c r="I50" s="128"/>
      <c r="J50" s="119">
        <f>F50*I50</f>
        <v>0</v>
      </c>
      <c r="K50" s="118"/>
      <c r="L50" s="119"/>
      <c r="M50" s="121">
        <f>J50</f>
        <v>0</v>
      </c>
    </row>
    <row r="51" spans="1:13" s="105" customFormat="1" ht="15">
      <c r="A51" s="273"/>
      <c r="B51" s="274"/>
      <c r="C51" s="274" t="s">
        <v>22</v>
      </c>
      <c r="D51" s="118"/>
      <c r="E51" s="118"/>
      <c r="F51" s="119"/>
      <c r="G51" s="118"/>
      <c r="H51" s="119"/>
      <c r="I51" s="118"/>
      <c r="J51" s="119"/>
      <c r="K51" s="118"/>
      <c r="L51" s="119"/>
      <c r="M51" s="121"/>
    </row>
    <row r="52" spans="1:13" s="105" customFormat="1" ht="30">
      <c r="A52" s="273"/>
      <c r="B52" s="274"/>
      <c r="C52" s="117" t="s">
        <v>157</v>
      </c>
      <c r="D52" s="118" t="s">
        <v>24</v>
      </c>
      <c r="E52" s="118">
        <v>1.01</v>
      </c>
      <c r="F52" s="128">
        <f>F48*E52</f>
        <v>80.8</v>
      </c>
      <c r="G52" s="119"/>
      <c r="H52" s="119">
        <f>F52*G52</f>
        <v>0</v>
      </c>
      <c r="I52" s="118"/>
      <c r="J52" s="119"/>
      <c r="K52" s="118"/>
      <c r="L52" s="119"/>
      <c r="M52" s="121">
        <f>H52</f>
        <v>0</v>
      </c>
    </row>
    <row r="53" spans="1:13" s="105" customFormat="1" ht="15">
      <c r="A53" s="273"/>
      <c r="B53" s="274"/>
      <c r="C53" s="117" t="s">
        <v>158</v>
      </c>
      <c r="D53" s="118" t="s">
        <v>49</v>
      </c>
      <c r="E53" s="118">
        <f>5/1000</f>
        <v>5.0000000000000001E-3</v>
      </c>
      <c r="F53" s="119">
        <f>F48*E53</f>
        <v>0.4</v>
      </c>
      <c r="G53" s="118"/>
      <c r="H53" s="119">
        <f>F53*G53</f>
        <v>0</v>
      </c>
      <c r="I53" s="118"/>
      <c r="J53" s="119"/>
      <c r="K53" s="118"/>
      <c r="L53" s="119"/>
      <c r="M53" s="121">
        <f>H53</f>
        <v>0</v>
      </c>
    </row>
    <row r="54" spans="1:13" s="105" customFormat="1">
      <c r="A54" s="273"/>
      <c r="B54" s="274"/>
      <c r="C54" s="117" t="s">
        <v>23</v>
      </c>
      <c r="D54" s="13" t="s">
        <v>19</v>
      </c>
      <c r="E54" s="289">
        <f>0.07/10</f>
        <v>7.000000000000001E-3</v>
      </c>
      <c r="F54" s="119">
        <f>F48*E54</f>
        <v>0.56000000000000005</v>
      </c>
      <c r="G54" s="118"/>
      <c r="H54" s="119">
        <f>G54*F54</f>
        <v>0</v>
      </c>
      <c r="I54" s="118"/>
      <c r="J54" s="119"/>
      <c r="K54" s="118"/>
      <c r="L54" s="119"/>
      <c r="M54" s="121">
        <f>H54</f>
        <v>0</v>
      </c>
    </row>
    <row r="55" spans="1:13" s="16" customFormat="1" ht="34.799999999999997">
      <c r="A55" s="129">
        <v>10</v>
      </c>
      <c r="B55" s="142" t="s">
        <v>42</v>
      </c>
      <c r="C55" s="131" t="s">
        <v>127</v>
      </c>
      <c r="D55" s="132" t="s">
        <v>20</v>
      </c>
      <c r="E55" s="132"/>
      <c r="F55" s="150">
        <f>20*2/1000</f>
        <v>0.04</v>
      </c>
      <c r="G55" s="132"/>
      <c r="H55" s="151"/>
      <c r="I55" s="132"/>
      <c r="J55" s="151"/>
      <c r="K55" s="132"/>
      <c r="L55" s="151"/>
      <c r="M55" s="305"/>
    </row>
    <row r="56" spans="1:13" s="16" customFormat="1" ht="38.25" customHeight="1">
      <c r="A56" s="10"/>
      <c r="B56" s="11"/>
      <c r="C56" s="12" t="s">
        <v>15</v>
      </c>
      <c r="D56" s="13" t="s">
        <v>16</v>
      </c>
      <c r="E56" s="148">
        <v>305</v>
      </c>
      <c r="F56" s="14">
        <f>F55*E56</f>
        <v>12.200000000000001</v>
      </c>
      <c r="G56" s="13"/>
      <c r="H56" s="14"/>
      <c r="I56" s="148"/>
      <c r="J56" s="14">
        <f>F56*I56</f>
        <v>0</v>
      </c>
      <c r="K56" s="13"/>
      <c r="L56" s="14"/>
      <c r="M56" s="291">
        <f t="shared" ref="M56:M57" si="0">H56+J56+L56</f>
        <v>0</v>
      </c>
    </row>
    <row r="57" spans="1:13" s="16" customFormat="1" ht="24" customHeight="1">
      <c r="A57" s="10"/>
      <c r="B57" s="11"/>
      <c r="C57" s="12" t="s">
        <v>21</v>
      </c>
      <c r="D57" s="13" t="s">
        <v>19</v>
      </c>
      <c r="E57" s="148">
        <v>162</v>
      </c>
      <c r="F57" s="14">
        <f>F55*E57</f>
        <v>6.48</v>
      </c>
      <c r="G57" s="13"/>
      <c r="H57" s="14"/>
      <c r="I57" s="13"/>
      <c r="J57" s="14"/>
      <c r="K57" s="148"/>
      <c r="L57" s="14">
        <f>F57*K57</f>
        <v>0</v>
      </c>
      <c r="M57" s="291">
        <f t="shared" si="0"/>
        <v>0</v>
      </c>
    </row>
    <row r="58" spans="1:13" s="16" customFormat="1" ht="24" customHeight="1">
      <c r="A58" s="10"/>
      <c r="B58" s="11"/>
      <c r="C58" s="11" t="s">
        <v>22</v>
      </c>
      <c r="D58" s="13"/>
      <c r="E58" s="148"/>
      <c r="F58" s="14"/>
      <c r="G58" s="13"/>
      <c r="H58" s="14"/>
      <c r="I58" s="13"/>
      <c r="J58" s="14"/>
      <c r="K58" s="13"/>
      <c r="L58" s="14"/>
      <c r="M58" s="291"/>
    </row>
    <row r="59" spans="1:13" s="16" customFormat="1" ht="24" customHeight="1">
      <c r="A59" s="10"/>
      <c r="B59" s="15" t="s">
        <v>40</v>
      </c>
      <c r="C59" s="12" t="s">
        <v>128</v>
      </c>
      <c r="D59" s="13" t="s">
        <v>38</v>
      </c>
      <c r="E59" s="148"/>
      <c r="F59" s="148">
        <v>2</v>
      </c>
      <c r="G59" s="14"/>
      <c r="H59" s="148">
        <f>F59*G59</f>
        <v>0</v>
      </c>
      <c r="I59" s="148"/>
      <c r="J59" s="148"/>
      <c r="K59" s="148"/>
      <c r="L59" s="148"/>
      <c r="M59" s="291">
        <f t="shared" ref="M59:M60" si="1">H59+J59+L59</f>
        <v>0</v>
      </c>
    </row>
    <row r="60" spans="1:13" s="16" customFormat="1" ht="24" customHeight="1">
      <c r="A60" s="10"/>
      <c r="B60" s="11"/>
      <c r="C60" s="12" t="s">
        <v>23</v>
      </c>
      <c r="D60" s="13" t="s">
        <v>19</v>
      </c>
      <c r="E60" s="148">
        <v>49.2</v>
      </c>
      <c r="F60" s="149">
        <f>F55*E60</f>
        <v>1.9680000000000002</v>
      </c>
      <c r="G60" s="148"/>
      <c r="H60" s="14">
        <f>G60*F60</f>
        <v>0</v>
      </c>
      <c r="I60" s="13"/>
      <c r="J60" s="14"/>
      <c r="K60" s="13"/>
      <c r="L60" s="14"/>
      <c r="M60" s="291">
        <f t="shared" si="1"/>
        <v>0</v>
      </c>
    </row>
    <row r="61" spans="1:13" s="16" customFormat="1" ht="34.799999999999997">
      <c r="A61" s="129">
        <v>11</v>
      </c>
      <c r="B61" s="142" t="s">
        <v>42</v>
      </c>
      <c r="C61" s="131" t="s">
        <v>129</v>
      </c>
      <c r="D61" s="132" t="s">
        <v>20</v>
      </c>
      <c r="E61" s="132"/>
      <c r="F61" s="150">
        <f>20*2/1000</f>
        <v>0.04</v>
      </c>
      <c r="G61" s="132"/>
      <c r="H61" s="151"/>
      <c r="I61" s="132"/>
      <c r="J61" s="151"/>
      <c r="K61" s="132"/>
      <c r="L61" s="151"/>
      <c r="M61" s="305"/>
    </row>
    <row r="62" spans="1:13" s="16" customFormat="1" ht="38.25" customHeight="1">
      <c r="A62" s="10"/>
      <c r="B62" s="11"/>
      <c r="C62" s="12" t="s">
        <v>15</v>
      </c>
      <c r="D62" s="13" t="s">
        <v>16</v>
      </c>
      <c r="E62" s="148">
        <v>305</v>
      </c>
      <c r="F62" s="14">
        <f>F61*E62</f>
        <v>12.200000000000001</v>
      </c>
      <c r="G62" s="13"/>
      <c r="H62" s="14"/>
      <c r="I62" s="148"/>
      <c r="J62" s="14">
        <f>F62*I62</f>
        <v>0</v>
      </c>
      <c r="K62" s="13"/>
      <c r="L62" s="14"/>
      <c r="M62" s="291">
        <f t="shared" ref="M62:M63" si="2">H62+J62+L62</f>
        <v>0</v>
      </c>
    </row>
    <row r="63" spans="1:13" s="16" customFormat="1" ht="24" customHeight="1">
      <c r="A63" s="10"/>
      <c r="B63" s="11"/>
      <c r="C63" s="12" t="s">
        <v>21</v>
      </c>
      <c r="D63" s="13" t="s">
        <v>19</v>
      </c>
      <c r="E63" s="148">
        <v>162</v>
      </c>
      <c r="F63" s="14">
        <f>F61*E63</f>
        <v>6.48</v>
      </c>
      <c r="G63" s="13"/>
      <c r="H63" s="14"/>
      <c r="I63" s="13"/>
      <c r="J63" s="14"/>
      <c r="K63" s="148"/>
      <c r="L63" s="14">
        <f>F63*K63</f>
        <v>0</v>
      </c>
      <c r="M63" s="291">
        <f t="shared" si="2"/>
        <v>0</v>
      </c>
    </row>
    <row r="64" spans="1:13" s="16" customFormat="1" ht="24" customHeight="1">
      <c r="A64" s="10"/>
      <c r="B64" s="11"/>
      <c r="C64" s="11" t="s">
        <v>22</v>
      </c>
      <c r="D64" s="13"/>
      <c r="E64" s="148"/>
      <c r="F64" s="14"/>
      <c r="G64" s="13"/>
      <c r="H64" s="14"/>
      <c r="I64" s="13"/>
      <c r="J64" s="14"/>
      <c r="K64" s="13"/>
      <c r="L64" s="14"/>
      <c r="M64" s="291"/>
    </row>
    <row r="65" spans="1:13" s="16" customFormat="1" ht="24" customHeight="1">
      <c r="A65" s="10"/>
      <c r="B65" s="15" t="s">
        <v>40</v>
      </c>
      <c r="C65" s="12" t="s">
        <v>130</v>
      </c>
      <c r="D65" s="13" t="s">
        <v>38</v>
      </c>
      <c r="E65" s="148"/>
      <c r="F65" s="148">
        <v>2</v>
      </c>
      <c r="G65" s="14"/>
      <c r="H65" s="148">
        <f>F65*G65</f>
        <v>0</v>
      </c>
      <c r="I65" s="148"/>
      <c r="J65" s="148"/>
      <c r="K65" s="148"/>
      <c r="L65" s="148"/>
      <c r="M65" s="291">
        <f t="shared" ref="M65:M66" si="3">H65+J65+L65</f>
        <v>0</v>
      </c>
    </row>
    <row r="66" spans="1:13" s="16" customFormat="1" ht="24" customHeight="1">
      <c r="A66" s="10"/>
      <c r="B66" s="11"/>
      <c r="C66" s="12" t="s">
        <v>23</v>
      </c>
      <c r="D66" s="13" t="s">
        <v>19</v>
      </c>
      <c r="E66" s="148">
        <v>49.2</v>
      </c>
      <c r="F66" s="149">
        <f>F61*E66</f>
        <v>1.9680000000000002</v>
      </c>
      <c r="G66" s="148"/>
      <c r="H66" s="14">
        <f>G66*F66</f>
        <v>0</v>
      </c>
      <c r="I66" s="13"/>
      <c r="J66" s="14"/>
      <c r="K66" s="13"/>
      <c r="L66" s="14"/>
      <c r="M66" s="291">
        <f t="shared" si="3"/>
        <v>0</v>
      </c>
    </row>
    <row r="67" spans="1:13" s="16" customFormat="1" ht="34.799999999999997">
      <c r="A67" s="129">
        <v>12</v>
      </c>
      <c r="B67" s="142" t="s">
        <v>42</v>
      </c>
      <c r="C67" s="131" t="s">
        <v>131</v>
      </c>
      <c r="D67" s="132" t="s">
        <v>20</v>
      </c>
      <c r="E67" s="132"/>
      <c r="F67" s="150">
        <f>24*1/1000</f>
        <v>2.4E-2</v>
      </c>
      <c r="G67" s="132"/>
      <c r="H67" s="151"/>
      <c r="I67" s="132"/>
      <c r="J67" s="151"/>
      <c r="K67" s="132"/>
      <c r="L67" s="151"/>
      <c r="M67" s="305"/>
    </row>
    <row r="68" spans="1:13" s="16" customFormat="1" ht="38.25" customHeight="1">
      <c r="A68" s="10"/>
      <c r="B68" s="11"/>
      <c r="C68" s="12" t="s">
        <v>15</v>
      </c>
      <c r="D68" s="13" t="s">
        <v>16</v>
      </c>
      <c r="E68" s="148">
        <v>305</v>
      </c>
      <c r="F68" s="14">
        <f>F67*E68</f>
        <v>7.32</v>
      </c>
      <c r="G68" s="13"/>
      <c r="H68" s="14"/>
      <c r="I68" s="148"/>
      <c r="J68" s="14">
        <f>F68*I68</f>
        <v>0</v>
      </c>
      <c r="K68" s="13"/>
      <c r="L68" s="14"/>
      <c r="M68" s="291">
        <f t="shared" ref="M68:M69" si="4">H68+J68+L68</f>
        <v>0</v>
      </c>
    </row>
    <row r="69" spans="1:13" s="16" customFormat="1" ht="24" customHeight="1">
      <c r="A69" s="10"/>
      <c r="B69" s="11"/>
      <c r="C69" s="12" t="s">
        <v>21</v>
      </c>
      <c r="D69" s="13" t="s">
        <v>19</v>
      </c>
      <c r="E69" s="148">
        <v>162</v>
      </c>
      <c r="F69" s="14">
        <f>F67*E69</f>
        <v>3.8879999999999999</v>
      </c>
      <c r="G69" s="13"/>
      <c r="H69" s="14"/>
      <c r="I69" s="13"/>
      <c r="J69" s="14"/>
      <c r="K69" s="148"/>
      <c r="L69" s="14">
        <f>F69*K69</f>
        <v>0</v>
      </c>
      <c r="M69" s="291">
        <f t="shared" si="4"/>
        <v>0</v>
      </c>
    </row>
    <row r="70" spans="1:13" s="16" customFormat="1" ht="24" customHeight="1">
      <c r="A70" s="10"/>
      <c r="B70" s="11"/>
      <c r="C70" s="11" t="s">
        <v>22</v>
      </c>
      <c r="D70" s="13"/>
      <c r="E70" s="148"/>
      <c r="F70" s="14"/>
      <c r="G70" s="13"/>
      <c r="H70" s="14"/>
      <c r="I70" s="13"/>
      <c r="J70" s="14"/>
      <c r="K70" s="13"/>
      <c r="L70" s="14"/>
      <c r="M70" s="291"/>
    </row>
    <row r="71" spans="1:13" s="16" customFormat="1" ht="24" customHeight="1">
      <c r="A71" s="10"/>
      <c r="B71" s="15" t="s">
        <v>40</v>
      </c>
      <c r="C71" s="12" t="s">
        <v>132</v>
      </c>
      <c r="D71" s="13" t="s">
        <v>38</v>
      </c>
      <c r="E71" s="148"/>
      <c r="F71" s="148">
        <v>1</v>
      </c>
      <c r="G71" s="14"/>
      <c r="H71" s="148">
        <f>F71*G71</f>
        <v>0</v>
      </c>
      <c r="I71" s="148"/>
      <c r="J71" s="148"/>
      <c r="K71" s="148"/>
      <c r="L71" s="148"/>
      <c r="M71" s="291">
        <f t="shared" ref="M71:M72" si="5">H71+J71+L71</f>
        <v>0</v>
      </c>
    </row>
    <row r="72" spans="1:13" s="16" customFormat="1" ht="24" customHeight="1">
      <c r="A72" s="10"/>
      <c r="B72" s="11"/>
      <c r="C72" s="12" t="s">
        <v>23</v>
      </c>
      <c r="D72" s="13" t="s">
        <v>19</v>
      </c>
      <c r="E72" s="148">
        <v>49.2</v>
      </c>
      <c r="F72" s="149">
        <f>F67*E72</f>
        <v>1.1808000000000001</v>
      </c>
      <c r="G72" s="148"/>
      <c r="H72" s="14">
        <f>G72*F72</f>
        <v>0</v>
      </c>
      <c r="I72" s="13"/>
      <c r="J72" s="14"/>
      <c r="K72" s="13"/>
      <c r="L72" s="14"/>
      <c r="M72" s="291">
        <f t="shared" si="5"/>
        <v>0</v>
      </c>
    </row>
    <row r="73" spans="1:13" s="73" customFormat="1" ht="38.25" customHeight="1">
      <c r="A73" s="143">
        <v>13</v>
      </c>
      <c r="B73" s="144" t="s">
        <v>90</v>
      </c>
      <c r="C73" s="145" t="s">
        <v>133</v>
      </c>
      <c r="D73" s="146" t="s">
        <v>41</v>
      </c>
      <c r="E73" s="146"/>
      <c r="F73" s="244">
        <v>1</v>
      </c>
      <c r="G73" s="146"/>
      <c r="H73" s="267"/>
      <c r="I73" s="146"/>
      <c r="J73" s="267"/>
      <c r="K73" s="146"/>
      <c r="L73" s="267"/>
      <c r="M73" s="268"/>
    </row>
    <row r="74" spans="1:13" s="73" customFormat="1" ht="39" customHeight="1">
      <c r="A74" s="29"/>
      <c r="B74" s="33"/>
      <c r="C74" s="32" t="s">
        <v>15</v>
      </c>
      <c r="D74" s="30" t="s">
        <v>16</v>
      </c>
      <c r="E74" s="184">
        <v>1.7</v>
      </c>
      <c r="F74" s="184">
        <f>E74*F73</f>
        <v>1.7</v>
      </c>
      <c r="G74" s="30"/>
      <c r="H74" s="184"/>
      <c r="I74" s="183"/>
      <c r="J74" s="184">
        <f>F74*I74</f>
        <v>0</v>
      </c>
      <c r="K74" s="30"/>
      <c r="L74" s="184"/>
      <c r="M74" s="185">
        <f>H74+J74+L74</f>
        <v>0</v>
      </c>
    </row>
    <row r="75" spans="1:13" s="73" customFormat="1" ht="25.5" customHeight="1">
      <c r="A75" s="29"/>
      <c r="B75" s="33"/>
      <c r="C75" s="32" t="s">
        <v>21</v>
      </c>
      <c r="D75" s="30" t="s">
        <v>19</v>
      </c>
      <c r="E75" s="184">
        <v>0.06</v>
      </c>
      <c r="F75" s="184">
        <f>E75*F73</f>
        <v>0.06</v>
      </c>
      <c r="G75" s="30"/>
      <c r="H75" s="184"/>
      <c r="I75" s="30"/>
      <c r="J75" s="184"/>
      <c r="K75" s="183"/>
      <c r="L75" s="184">
        <f>F75*K75</f>
        <v>0</v>
      </c>
      <c r="M75" s="185">
        <f>H75+J75+L75</f>
        <v>0</v>
      </c>
    </row>
    <row r="76" spans="1:13" s="73" customFormat="1" ht="25.5" customHeight="1">
      <c r="A76" s="29"/>
      <c r="B76" s="33"/>
      <c r="C76" s="33" t="s">
        <v>22</v>
      </c>
      <c r="D76" s="30"/>
      <c r="E76" s="30"/>
      <c r="F76" s="184"/>
      <c r="G76" s="30"/>
      <c r="H76" s="184"/>
      <c r="I76" s="30"/>
      <c r="J76" s="184"/>
      <c r="K76" s="30"/>
      <c r="L76" s="184"/>
      <c r="M76" s="185"/>
    </row>
    <row r="77" spans="1:13" s="73" customFormat="1" ht="27.75" customHeight="1">
      <c r="A77" s="29"/>
      <c r="B77" s="31"/>
      <c r="C77" s="32" t="s">
        <v>134</v>
      </c>
      <c r="D77" s="30" t="s">
        <v>41</v>
      </c>
      <c r="E77" s="30">
        <v>1</v>
      </c>
      <c r="F77" s="184">
        <f>E77*F73</f>
        <v>1</v>
      </c>
      <c r="G77" s="184"/>
      <c r="H77" s="184">
        <f>F77*G77</f>
        <v>0</v>
      </c>
      <c r="I77" s="30"/>
      <c r="J77" s="184"/>
      <c r="K77" s="30"/>
      <c r="L77" s="184"/>
      <c r="M77" s="185">
        <f>H77+J77+L77</f>
        <v>0</v>
      </c>
    </row>
    <row r="78" spans="1:13" s="73" customFormat="1" ht="29.25" customHeight="1">
      <c r="A78" s="29"/>
      <c r="B78" s="33"/>
      <c r="C78" s="32" t="s">
        <v>23</v>
      </c>
      <c r="D78" s="30" t="s">
        <v>19</v>
      </c>
      <c r="E78" s="184">
        <v>0.88</v>
      </c>
      <c r="F78" s="184">
        <f>E78*F73</f>
        <v>0.88</v>
      </c>
      <c r="G78" s="183"/>
      <c r="H78" s="184">
        <f>F78*G78</f>
        <v>0</v>
      </c>
      <c r="I78" s="30"/>
      <c r="J78" s="184"/>
      <c r="K78" s="30"/>
      <c r="L78" s="184"/>
      <c r="M78" s="185">
        <f>H78+J78+L78</f>
        <v>0</v>
      </c>
    </row>
    <row r="79" spans="1:13" s="73" customFormat="1" ht="32.4">
      <c r="A79" s="147">
        <v>14</v>
      </c>
      <c r="B79" s="130" t="s">
        <v>91</v>
      </c>
      <c r="C79" s="145" t="s">
        <v>135</v>
      </c>
      <c r="D79" s="146" t="s">
        <v>38</v>
      </c>
      <c r="E79" s="146"/>
      <c r="F79" s="292">
        <v>2</v>
      </c>
      <c r="G79" s="146"/>
      <c r="H79" s="267"/>
      <c r="I79" s="146"/>
      <c r="J79" s="267"/>
      <c r="K79" s="146"/>
      <c r="L79" s="267"/>
      <c r="M79" s="268"/>
    </row>
    <row r="80" spans="1:13" s="73" customFormat="1" ht="36.75" customHeight="1">
      <c r="A80" s="29"/>
      <c r="B80" s="33"/>
      <c r="C80" s="32" t="s">
        <v>15</v>
      </c>
      <c r="D80" s="30" t="s">
        <v>16</v>
      </c>
      <c r="E80" s="184">
        <v>0.62</v>
      </c>
      <c r="F80" s="184">
        <f>E80*F79</f>
        <v>1.24</v>
      </c>
      <c r="G80" s="30"/>
      <c r="H80" s="184"/>
      <c r="I80" s="183"/>
      <c r="J80" s="184">
        <f>F80*I80</f>
        <v>0</v>
      </c>
      <c r="K80" s="30"/>
      <c r="L80" s="184"/>
      <c r="M80" s="185">
        <f>H80+J80+L80</f>
        <v>0</v>
      </c>
    </row>
    <row r="81" spans="1:13" s="73" customFormat="1">
      <c r="A81" s="29"/>
      <c r="B81" s="33"/>
      <c r="C81" s="74" t="s">
        <v>18</v>
      </c>
      <c r="D81" s="293" t="s">
        <v>19</v>
      </c>
      <c r="E81" s="184">
        <v>0.41</v>
      </c>
      <c r="F81" s="184">
        <f>E81*F79</f>
        <v>0.82</v>
      </c>
      <c r="G81" s="293"/>
      <c r="H81" s="293"/>
      <c r="I81" s="293"/>
      <c r="J81" s="294"/>
      <c r="K81" s="183"/>
      <c r="L81" s="295">
        <f>F81*K81</f>
        <v>0</v>
      </c>
      <c r="M81" s="185">
        <f>H81+J81+L81</f>
        <v>0</v>
      </c>
    </row>
    <row r="82" spans="1:13" s="73" customFormat="1" ht="29.25" customHeight="1">
      <c r="A82" s="29"/>
      <c r="B82" s="33"/>
      <c r="C82" s="33" t="s">
        <v>22</v>
      </c>
      <c r="D82" s="30"/>
      <c r="E82" s="30"/>
      <c r="F82" s="184"/>
      <c r="G82" s="30"/>
      <c r="H82" s="184"/>
      <c r="I82" s="30"/>
      <c r="J82" s="184"/>
      <c r="K82" s="30"/>
      <c r="L82" s="184"/>
      <c r="M82" s="185"/>
    </row>
    <row r="83" spans="1:13" s="73" customFormat="1" ht="20.399999999999999" customHeight="1">
      <c r="A83" s="29"/>
      <c r="B83" s="31"/>
      <c r="C83" s="32" t="s">
        <v>136</v>
      </c>
      <c r="D83" s="30" t="s">
        <v>38</v>
      </c>
      <c r="E83" s="30"/>
      <c r="F83" s="184">
        <f>F79</f>
        <v>2</v>
      </c>
      <c r="G83" s="184"/>
      <c r="H83" s="184">
        <f>F83*G83</f>
        <v>0</v>
      </c>
      <c r="I83" s="30"/>
      <c r="J83" s="184"/>
      <c r="K83" s="30"/>
      <c r="L83" s="184"/>
      <c r="M83" s="185">
        <f>H83+J83+L83</f>
        <v>0</v>
      </c>
    </row>
    <row r="84" spans="1:13" s="73" customFormat="1" ht="26.25" customHeight="1">
      <c r="A84" s="29"/>
      <c r="B84" s="33"/>
      <c r="C84" s="32" t="s">
        <v>23</v>
      </c>
      <c r="D84" s="30" t="s">
        <v>19</v>
      </c>
      <c r="E84" s="184">
        <v>0.04</v>
      </c>
      <c r="F84" s="184">
        <f>E84*F79</f>
        <v>0.08</v>
      </c>
      <c r="G84" s="183"/>
      <c r="H84" s="184">
        <f>F84*G84</f>
        <v>0</v>
      </c>
      <c r="I84" s="30"/>
      <c r="J84" s="184"/>
      <c r="K84" s="30"/>
      <c r="L84" s="184"/>
      <c r="M84" s="185">
        <f>H84+J84+L84</f>
        <v>0</v>
      </c>
    </row>
    <row r="85" spans="1:13" s="73" customFormat="1" ht="38.25" customHeight="1">
      <c r="A85" s="147">
        <v>15</v>
      </c>
      <c r="B85" s="144" t="s">
        <v>42</v>
      </c>
      <c r="C85" s="145" t="s">
        <v>137</v>
      </c>
      <c r="D85" s="146" t="s">
        <v>20</v>
      </c>
      <c r="E85" s="146"/>
      <c r="F85" s="150">
        <f>45*2/1000</f>
        <v>0.09</v>
      </c>
      <c r="G85" s="146"/>
      <c r="H85" s="267"/>
      <c r="I85" s="146"/>
      <c r="J85" s="267"/>
      <c r="K85" s="146"/>
      <c r="L85" s="267"/>
      <c r="M85" s="268"/>
    </row>
    <row r="86" spans="1:13" s="73" customFormat="1" ht="36" customHeight="1">
      <c r="A86" s="29"/>
      <c r="B86" s="33"/>
      <c r="C86" s="32" t="s">
        <v>15</v>
      </c>
      <c r="D86" s="30" t="s">
        <v>16</v>
      </c>
      <c r="E86" s="184">
        <v>305</v>
      </c>
      <c r="F86" s="184">
        <f>E86*F85</f>
        <v>27.45</v>
      </c>
      <c r="G86" s="30"/>
      <c r="H86" s="184"/>
      <c r="I86" s="183"/>
      <c r="J86" s="184">
        <f>F86*I86</f>
        <v>0</v>
      </c>
      <c r="K86" s="30"/>
      <c r="L86" s="184"/>
      <c r="M86" s="185">
        <f>H86+J86+L86</f>
        <v>0</v>
      </c>
    </row>
    <row r="87" spans="1:13" s="73" customFormat="1" ht="24.75" customHeight="1">
      <c r="A87" s="29"/>
      <c r="B87" s="33"/>
      <c r="C87" s="32" t="s">
        <v>21</v>
      </c>
      <c r="D87" s="30" t="s">
        <v>19</v>
      </c>
      <c r="E87" s="184">
        <v>162</v>
      </c>
      <c r="F87" s="184">
        <f>E87*F85</f>
        <v>14.58</v>
      </c>
      <c r="G87" s="30"/>
      <c r="H87" s="184"/>
      <c r="I87" s="30"/>
      <c r="J87" s="184"/>
      <c r="K87" s="297"/>
      <c r="L87" s="184">
        <f>F87*K87</f>
        <v>0</v>
      </c>
      <c r="M87" s="185">
        <f>H87+J87+L87</f>
        <v>0</v>
      </c>
    </row>
    <row r="88" spans="1:13" s="73" customFormat="1" ht="24.75" customHeight="1">
      <c r="A88" s="29"/>
      <c r="B88" s="33"/>
      <c r="C88" s="33" t="s">
        <v>22</v>
      </c>
      <c r="D88" s="30"/>
      <c r="E88" s="30"/>
      <c r="F88" s="184"/>
      <c r="G88" s="30"/>
      <c r="H88" s="184"/>
      <c r="I88" s="30"/>
      <c r="J88" s="184"/>
      <c r="K88" s="30"/>
      <c r="L88" s="184"/>
      <c r="M88" s="185"/>
    </row>
    <row r="89" spans="1:13" s="73" customFormat="1" ht="30.75" customHeight="1">
      <c r="A89" s="29"/>
      <c r="B89" s="306"/>
      <c r="C89" s="32" t="s">
        <v>138</v>
      </c>
      <c r="D89" s="30" t="s">
        <v>38</v>
      </c>
      <c r="E89" s="30"/>
      <c r="F89" s="184">
        <v>2</v>
      </c>
      <c r="G89" s="184"/>
      <c r="H89" s="184">
        <f>F89*G89</f>
        <v>0</v>
      </c>
      <c r="I89" s="30"/>
      <c r="J89" s="184"/>
      <c r="K89" s="30"/>
      <c r="L89" s="184"/>
      <c r="M89" s="185">
        <f>H89+J89+L89</f>
        <v>0</v>
      </c>
    </row>
    <row r="90" spans="1:13" s="73" customFormat="1" ht="24.75" customHeight="1">
      <c r="A90" s="29"/>
      <c r="B90" s="33"/>
      <c r="C90" s="32" t="s">
        <v>23</v>
      </c>
      <c r="D90" s="30" t="s">
        <v>19</v>
      </c>
      <c r="E90" s="184">
        <v>49.2</v>
      </c>
      <c r="F90" s="184">
        <f>E90*F85</f>
        <v>4.4279999999999999</v>
      </c>
      <c r="G90" s="297"/>
      <c r="H90" s="184">
        <f>F90*G90</f>
        <v>0</v>
      </c>
      <c r="I90" s="30"/>
      <c r="J90" s="184"/>
      <c r="K90" s="30"/>
      <c r="L90" s="184"/>
      <c r="M90" s="185">
        <f>H90+J90+L90</f>
        <v>0</v>
      </c>
    </row>
    <row r="91" spans="1:13" s="73" customFormat="1" ht="42.75" customHeight="1">
      <c r="A91" s="303" t="s">
        <v>140</v>
      </c>
      <c r="B91" s="144" t="s">
        <v>97</v>
      </c>
      <c r="C91" s="145" t="s">
        <v>139</v>
      </c>
      <c r="D91" s="146" t="s">
        <v>98</v>
      </c>
      <c r="E91" s="146"/>
      <c r="F91" s="292">
        <v>1</v>
      </c>
      <c r="G91" s="146"/>
      <c r="H91" s="267"/>
      <c r="I91" s="146"/>
      <c r="J91" s="267"/>
      <c r="K91" s="146"/>
      <c r="L91" s="267"/>
      <c r="M91" s="268"/>
    </row>
    <row r="92" spans="1:13" s="308" customFormat="1" ht="39" customHeight="1">
      <c r="A92" s="301"/>
      <c r="B92" s="31"/>
      <c r="C92" s="307" t="s">
        <v>15</v>
      </c>
      <c r="D92" s="30" t="s">
        <v>16</v>
      </c>
      <c r="E92" s="184">
        <v>16.8</v>
      </c>
      <c r="F92" s="296">
        <f>F91*E92</f>
        <v>16.8</v>
      </c>
      <c r="G92" s="30"/>
      <c r="H92" s="184"/>
      <c r="I92" s="183"/>
      <c r="J92" s="184">
        <f>F92*I92</f>
        <v>0</v>
      </c>
      <c r="K92" s="30"/>
      <c r="L92" s="184"/>
      <c r="M92" s="185">
        <f>H92+J92+L92</f>
        <v>0</v>
      </c>
    </row>
    <row r="93" spans="1:13" s="308" customFormat="1" ht="21.75" customHeight="1">
      <c r="A93" s="301"/>
      <c r="B93" s="31"/>
      <c r="C93" s="309" t="s">
        <v>22</v>
      </c>
      <c r="D93" s="30"/>
      <c r="E93" s="30"/>
      <c r="F93" s="296"/>
      <c r="G93" s="30"/>
      <c r="H93" s="184"/>
      <c r="I93" s="30"/>
      <c r="J93" s="184"/>
      <c r="K93" s="30"/>
      <c r="L93" s="184"/>
      <c r="M93" s="185"/>
    </row>
    <row r="94" spans="1:13" s="308" customFormat="1" ht="21.75" customHeight="1" thickBot="1">
      <c r="A94" s="301"/>
      <c r="B94" s="31"/>
      <c r="C94" s="307" t="s">
        <v>23</v>
      </c>
      <c r="D94" s="30" t="s">
        <v>19</v>
      </c>
      <c r="E94" s="184">
        <v>1.07</v>
      </c>
      <c r="F94" s="296">
        <f>F91*E94</f>
        <v>1.07</v>
      </c>
      <c r="G94" s="183"/>
      <c r="H94" s="184">
        <f>G94*F94</f>
        <v>0</v>
      </c>
      <c r="I94" s="30"/>
      <c r="J94" s="184"/>
      <c r="K94" s="30"/>
      <c r="L94" s="184"/>
      <c r="M94" s="185">
        <f>H94+J94+L94</f>
        <v>0</v>
      </c>
    </row>
    <row r="95" spans="1:13" s="17" customFormat="1" ht="24" customHeight="1" thickBot="1">
      <c r="A95" s="82"/>
      <c r="B95" s="18"/>
      <c r="C95" s="19" t="s">
        <v>25</v>
      </c>
      <c r="D95" s="20"/>
      <c r="E95" s="106"/>
      <c r="F95" s="106"/>
      <c r="G95" s="107"/>
      <c r="H95" s="87">
        <f>SUM(H10:H94)</f>
        <v>0</v>
      </c>
      <c r="I95" s="86"/>
      <c r="J95" s="88">
        <f>SUM(J10:J94)</f>
        <v>0</v>
      </c>
      <c r="K95" s="86"/>
      <c r="L95" s="75">
        <f>SUM(L10:L94)</f>
        <v>0</v>
      </c>
      <c r="M95" s="89">
        <f>SUM(M10:M94)</f>
        <v>0</v>
      </c>
    </row>
    <row r="96" spans="1:13" s="17" customFormat="1" ht="31.5" customHeight="1" thickBot="1">
      <c r="A96" s="83"/>
      <c r="B96" s="21"/>
      <c r="C96" s="22" t="s">
        <v>26</v>
      </c>
      <c r="D96" s="23">
        <v>0.05</v>
      </c>
      <c r="E96" s="108"/>
      <c r="F96" s="109"/>
      <c r="G96" s="108"/>
      <c r="H96" s="110">
        <f>H95*D96</f>
        <v>0</v>
      </c>
      <c r="I96" s="111"/>
      <c r="J96" s="111"/>
      <c r="K96" s="111"/>
      <c r="L96" s="111"/>
      <c r="M96" s="103">
        <f>H96</f>
        <v>0</v>
      </c>
    </row>
    <row r="97" spans="1:13" s="17" customFormat="1" ht="23.25" customHeight="1" thickBot="1">
      <c r="A97" s="83"/>
      <c r="B97" s="26"/>
      <c r="C97" s="27" t="s">
        <v>27</v>
      </c>
      <c r="D97" s="24"/>
      <c r="E97" s="108"/>
      <c r="F97" s="109"/>
      <c r="G97" s="108"/>
      <c r="H97" s="111"/>
      <c r="I97" s="111"/>
      <c r="J97" s="111"/>
      <c r="K97" s="111"/>
      <c r="L97" s="111"/>
      <c r="M97" s="89">
        <f>M95+M96</f>
        <v>0</v>
      </c>
    </row>
    <row r="98" spans="1:13" s="17" customFormat="1" ht="24" customHeight="1">
      <c r="A98" s="84"/>
      <c r="B98" s="69"/>
      <c r="C98" s="70"/>
      <c r="D98" s="68"/>
      <c r="E98" s="68"/>
      <c r="F98" s="71"/>
      <c r="G98" s="68"/>
      <c r="H98" s="72"/>
      <c r="I98" s="72"/>
      <c r="J98" s="72"/>
      <c r="K98" s="72"/>
      <c r="L98" s="72"/>
      <c r="M98" s="71"/>
    </row>
  </sheetData>
  <mergeCells count="11">
    <mergeCell ref="K6:L6"/>
    <mergeCell ref="A1:M2"/>
    <mergeCell ref="A4:M4"/>
    <mergeCell ref="A6:A7"/>
    <mergeCell ref="B6:B7"/>
    <mergeCell ref="C6:C7"/>
    <mergeCell ref="D6:D7"/>
    <mergeCell ref="E6:E7"/>
    <mergeCell ref="F6:F7"/>
    <mergeCell ref="G6:H6"/>
    <mergeCell ref="I6:J6"/>
  </mergeCells>
  <pageMargins left="0.7" right="0.7" top="0.75" bottom="0.75" header="0.3" footer="0.3"/>
  <pageSetup scale="7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3" zoomScaleNormal="100" zoomScaleSheetLayoutView="84" workbookViewId="0">
      <selection activeCell="H11" sqref="H11"/>
    </sheetView>
  </sheetViews>
  <sheetFormatPr defaultColWidth="9.109375" defaultRowHeight="16.2"/>
  <cols>
    <col min="1" max="1" width="6.33203125" style="85" customWidth="1"/>
    <col min="2" max="2" width="12.109375" style="28" customWidth="1"/>
    <col min="3" max="3" width="37.5546875" style="113" customWidth="1"/>
    <col min="4" max="4" width="8.5546875" style="113" customWidth="1"/>
    <col min="5" max="5" width="9.44140625" style="113" customWidth="1"/>
    <col min="6" max="6" width="12.5546875" style="113" bestFit="1" customWidth="1"/>
    <col min="7" max="7" width="10.88671875" style="113" customWidth="1"/>
    <col min="8" max="8" width="14.109375" style="113" customWidth="1"/>
    <col min="9" max="9" width="9.5546875" style="113" customWidth="1"/>
    <col min="10" max="10" width="13.109375" style="113" customWidth="1"/>
    <col min="11" max="11" width="10.109375" style="113" customWidth="1"/>
    <col min="12" max="12" width="13.44140625" style="113" customWidth="1"/>
    <col min="13" max="13" width="16.109375" style="113" customWidth="1"/>
    <col min="14" max="16384" width="9.109375" style="113"/>
  </cols>
  <sheetData>
    <row r="1" spans="1:15" ht="16.2" customHeight="1">
      <c r="A1" s="344" t="s">
        <v>148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5" ht="36" customHeigh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</row>
    <row r="3" spans="1:15" ht="25.5" customHeight="1">
      <c r="A3" s="345" t="s">
        <v>81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</row>
    <row r="4" spans="1:15" ht="6.75" customHeight="1" thickBot="1">
      <c r="A4" s="80"/>
      <c r="B4" s="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5" s="154" customFormat="1" ht="25.5" customHeight="1">
      <c r="A5" s="353" t="s">
        <v>0</v>
      </c>
      <c r="B5" s="355" t="s">
        <v>1</v>
      </c>
      <c r="C5" s="352" t="s">
        <v>2</v>
      </c>
      <c r="D5" s="352" t="s">
        <v>3</v>
      </c>
      <c r="E5" s="352" t="s">
        <v>4</v>
      </c>
      <c r="F5" s="352" t="s">
        <v>5</v>
      </c>
      <c r="G5" s="358" t="s">
        <v>6</v>
      </c>
      <c r="H5" s="358"/>
      <c r="I5" s="358" t="s">
        <v>7</v>
      </c>
      <c r="J5" s="358"/>
      <c r="K5" s="352" t="s">
        <v>8</v>
      </c>
      <c r="L5" s="352"/>
      <c r="M5" s="152" t="s">
        <v>9</v>
      </c>
      <c r="N5" s="153"/>
      <c r="O5" s="153"/>
    </row>
    <row r="6" spans="1:15" s="154" customFormat="1" ht="49.5" customHeight="1" thickBot="1">
      <c r="A6" s="354"/>
      <c r="B6" s="356"/>
      <c r="C6" s="357"/>
      <c r="D6" s="357"/>
      <c r="E6" s="357"/>
      <c r="F6" s="357"/>
      <c r="G6" s="155" t="s">
        <v>10</v>
      </c>
      <c r="H6" s="156" t="s">
        <v>11</v>
      </c>
      <c r="I6" s="155" t="s">
        <v>10</v>
      </c>
      <c r="J6" s="156" t="s">
        <v>11</v>
      </c>
      <c r="K6" s="155" t="s">
        <v>10</v>
      </c>
      <c r="L6" s="156" t="s">
        <v>12</v>
      </c>
      <c r="M6" s="157" t="s">
        <v>13</v>
      </c>
      <c r="N6" s="153"/>
      <c r="O6" s="153"/>
    </row>
    <row r="7" spans="1:15" s="154" customFormat="1" ht="15.6" thickBot="1">
      <c r="A7" s="158">
        <v>1</v>
      </c>
      <c r="B7" s="159">
        <v>2</v>
      </c>
      <c r="C7" s="160">
        <v>3</v>
      </c>
      <c r="D7" s="160">
        <v>4</v>
      </c>
      <c r="E7" s="160">
        <v>5</v>
      </c>
      <c r="F7" s="160">
        <v>6</v>
      </c>
      <c r="G7" s="161">
        <v>7</v>
      </c>
      <c r="H7" s="162">
        <v>8</v>
      </c>
      <c r="I7" s="161">
        <v>9</v>
      </c>
      <c r="J7" s="162">
        <v>10</v>
      </c>
      <c r="K7" s="161">
        <v>11</v>
      </c>
      <c r="L7" s="162">
        <v>12</v>
      </c>
      <c r="M7" s="163">
        <v>13</v>
      </c>
      <c r="N7" s="153"/>
      <c r="O7" s="153"/>
    </row>
    <row r="8" spans="1:15" s="174" customFormat="1" ht="51.6" customHeight="1">
      <c r="A8" s="234" t="s">
        <v>44</v>
      </c>
      <c r="B8" s="235" t="s">
        <v>65</v>
      </c>
      <c r="C8" s="236" t="s">
        <v>66</v>
      </c>
      <c r="D8" s="170" t="s">
        <v>14</v>
      </c>
      <c r="E8" s="170"/>
      <c r="F8" s="164">
        <v>20</v>
      </c>
      <c r="G8" s="170"/>
      <c r="H8" s="171"/>
      <c r="I8" s="170"/>
      <c r="J8" s="171"/>
      <c r="K8" s="170"/>
      <c r="L8" s="171"/>
      <c r="M8" s="172"/>
    </row>
    <row r="9" spans="1:15" s="174" customFormat="1" ht="34.5" customHeight="1">
      <c r="A9" s="229"/>
      <c r="B9" s="176"/>
      <c r="C9" s="177" t="s">
        <v>15</v>
      </c>
      <c r="D9" s="178" t="s">
        <v>16</v>
      </c>
      <c r="E9" s="230">
        <f>21.5/1000</f>
        <v>2.1499999999999998E-2</v>
      </c>
      <c r="F9" s="179">
        <f>F8*E9</f>
        <v>0.42999999999999994</v>
      </c>
      <c r="G9" s="178"/>
      <c r="H9" s="179"/>
      <c r="I9" s="180"/>
      <c r="J9" s="179">
        <f>F9*I9</f>
        <v>0</v>
      </c>
      <c r="K9" s="178"/>
      <c r="L9" s="179"/>
      <c r="M9" s="181">
        <f>H9+J9+L9</f>
        <v>0</v>
      </c>
    </row>
    <row r="10" spans="1:15" s="174" customFormat="1" ht="39" customHeight="1">
      <c r="A10" s="229"/>
      <c r="B10" s="231" t="s">
        <v>67</v>
      </c>
      <c r="C10" s="177" t="s">
        <v>68</v>
      </c>
      <c r="D10" s="178" t="s">
        <v>17</v>
      </c>
      <c r="E10" s="232">
        <f>48.2/1000</f>
        <v>4.82E-2</v>
      </c>
      <c r="F10" s="179">
        <f>F8*E10</f>
        <v>0.96399999999999997</v>
      </c>
      <c r="G10" s="178"/>
      <c r="H10" s="179"/>
      <c r="I10" s="179"/>
      <c r="J10" s="179"/>
      <c r="K10" s="233"/>
      <c r="L10" s="179">
        <f>F10*K10</f>
        <v>0</v>
      </c>
      <c r="M10" s="181">
        <f>H10+J10+L10</f>
        <v>0</v>
      </c>
    </row>
    <row r="11" spans="1:15" s="174" customFormat="1" ht="39.75" customHeight="1">
      <c r="A11" s="167">
        <v>2</v>
      </c>
      <c r="B11" s="168" t="s">
        <v>48</v>
      </c>
      <c r="C11" s="169" t="s">
        <v>104</v>
      </c>
      <c r="D11" s="170" t="s">
        <v>49</v>
      </c>
      <c r="E11" s="170"/>
      <c r="F11" s="171">
        <v>2</v>
      </c>
      <c r="G11" s="170"/>
      <c r="H11" s="171"/>
      <c r="I11" s="170"/>
      <c r="J11" s="171"/>
      <c r="K11" s="170"/>
      <c r="L11" s="171"/>
      <c r="M11" s="172"/>
      <c r="N11" s="173"/>
      <c r="O11" s="173"/>
    </row>
    <row r="12" spans="1:15" s="174" customFormat="1" ht="36" customHeight="1">
      <c r="A12" s="175"/>
      <c r="B12" s="176"/>
      <c r="C12" s="177" t="s">
        <v>15</v>
      </c>
      <c r="D12" s="178" t="s">
        <v>16</v>
      </c>
      <c r="E12" s="179">
        <v>0.11</v>
      </c>
      <c r="F12" s="179">
        <f>F11*E12</f>
        <v>0.22</v>
      </c>
      <c r="G12" s="178"/>
      <c r="H12" s="179"/>
      <c r="I12" s="180"/>
      <c r="J12" s="179">
        <f>F12*I12</f>
        <v>0</v>
      </c>
      <c r="K12" s="178"/>
      <c r="L12" s="179"/>
      <c r="M12" s="181">
        <f>H12+J12+L12</f>
        <v>0</v>
      </c>
      <c r="N12" s="173"/>
      <c r="O12" s="173"/>
    </row>
    <row r="13" spans="1:15" s="174" customFormat="1" ht="42" customHeight="1">
      <c r="A13" s="241" t="s">
        <v>50</v>
      </c>
      <c r="B13" s="235" t="s">
        <v>69</v>
      </c>
      <c r="C13" s="242" t="s">
        <v>105</v>
      </c>
      <c r="D13" s="243" t="s">
        <v>14</v>
      </c>
      <c r="E13" s="170"/>
      <c r="F13" s="272">
        <v>2.2000000000000002</v>
      </c>
      <c r="G13" s="170"/>
      <c r="H13" s="171"/>
      <c r="I13" s="170"/>
      <c r="J13" s="171"/>
      <c r="K13" s="170"/>
      <c r="L13" s="171"/>
      <c r="M13" s="172"/>
    </row>
    <row r="14" spans="1:15" s="174" customFormat="1">
      <c r="A14" s="229"/>
      <c r="B14" s="237"/>
      <c r="C14" s="177" t="s">
        <v>70</v>
      </c>
      <c r="D14" s="178" t="s">
        <v>16</v>
      </c>
      <c r="E14" s="238">
        <f>0.89+13.4/100</f>
        <v>1.024</v>
      </c>
      <c r="F14" s="179">
        <f>F13*E14</f>
        <v>2.2528000000000001</v>
      </c>
      <c r="G14" s="178"/>
      <c r="H14" s="179"/>
      <c r="I14" s="180"/>
      <c r="J14" s="179">
        <f>F14*I14</f>
        <v>0</v>
      </c>
      <c r="K14" s="178"/>
      <c r="L14" s="179"/>
      <c r="M14" s="181">
        <f>H14+J14+L14</f>
        <v>0</v>
      </c>
    </row>
    <row r="15" spans="1:15" s="73" customFormat="1">
      <c r="A15" s="29"/>
      <c r="B15" s="195" t="s">
        <v>71</v>
      </c>
      <c r="C15" s="32" t="s">
        <v>72</v>
      </c>
      <c r="D15" s="30" t="s">
        <v>17</v>
      </c>
      <c r="E15" s="196">
        <f>13/100</f>
        <v>0.13</v>
      </c>
      <c r="F15" s="184">
        <f>F13*E15</f>
        <v>0.28600000000000003</v>
      </c>
      <c r="G15" s="30"/>
      <c r="H15" s="184"/>
      <c r="I15" s="183"/>
      <c r="J15" s="184"/>
      <c r="K15" s="30"/>
      <c r="L15" s="184">
        <f>K15*F15</f>
        <v>0</v>
      </c>
      <c r="M15" s="185">
        <f>H15+J15+L15</f>
        <v>0</v>
      </c>
    </row>
    <row r="16" spans="1:15" s="174" customFormat="1">
      <c r="A16" s="229"/>
      <c r="B16" s="237"/>
      <c r="C16" s="177" t="s">
        <v>21</v>
      </c>
      <c r="D16" s="178" t="s">
        <v>19</v>
      </c>
      <c r="E16" s="179">
        <v>0.37</v>
      </c>
      <c r="F16" s="179">
        <f>F13*E16</f>
        <v>0.81400000000000006</v>
      </c>
      <c r="G16" s="178"/>
      <c r="H16" s="179"/>
      <c r="I16" s="180"/>
      <c r="J16" s="179"/>
      <c r="K16" s="180"/>
      <c r="L16" s="179">
        <f>K16*F16</f>
        <v>0</v>
      </c>
      <c r="M16" s="181">
        <f>H16+J16+L16</f>
        <v>0</v>
      </c>
    </row>
    <row r="17" spans="1:15" s="174" customFormat="1" ht="21.75" customHeight="1">
      <c r="A17" s="229"/>
      <c r="B17" s="237"/>
      <c r="C17" s="176" t="s">
        <v>22</v>
      </c>
      <c r="D17" s="178"/>
      <c r="E17" s="178"/>
      <c r="F17" s="179"/>
      <c r="G17" s="178"/>
      <c r="H17" s="179"/>
      <c r="I17" s="178"/>
      <c r="J17" s="179"/>
      <c r="K17" s="178"/>
      <c r="L17" s="179"/>
      <c r="M17" s="181"/>
    </row>
    <row r="18" spans="1:15" s="174" customFormat="1" ht="18.600000000000001">
      <c r="A18" s="229"/>
      <c r="B18" s="239" t="s">
        <v>73</v>
      </c>
      <c r="C18" s="240" t="s">
        <v>74</v>
      </c>
      <c r="D18" s="178" t="s">
        <v>14</v>
      </c>
      <c r="E18" s="179">
        <v>1.1499999999999999</v>
      </c>
      <c r="F18" s="179">
        <f>E18*F13</f>
        <v>2.5299999999999998</v>
      </c>
      <c r="G18" s="165"/>
      <c r="H18" s="179">
        <f>F18*G18</f>
        <v>0</v>
      </c>
      <c r="I18" s="178"/>
      <c r="J18" s="179"/>
      <c r="K18" s="178"/>
      <c r="L18" s="179"/>
      <c r="M18" s="181">
        <f>H18+J18+L18</f>
        <v>0</v>
      </c>
    </row>
    <row r="19" spans="1:15" s="174" customFormat="1">
      <c r="A19" s="229"/>
      <c r="B19" s="237"/>
      <c r="C19" s="177" t="s">
        <v>23</v>
      </c>
      <c r="D19" s="178" t="s">
        <v>19</v>
      </c>
      <c r="E19" s="179">
        <v>0.02</v>
      </c>
      <c r="F19" s="179">
        <f>F13*E19</f>
        <v>4.4000000000000004E-2</v>
      </c>
      <c r="G19" s="179"/>
      <c r="H19" s="179">
        <f>G19*F19</f>
        <v>0</v>
      </c>
      <c r="I19" s="178"/>
      <c r="J19" s="179"/>
      <c r="K19" s="178"/>
      <c r="L19" s="179"/>
      <c r="M19" s="181">
        <f>H19+J19+L19</f>
        <v>0</v>
      </c>
    </row>
    <row r="20" spans="1:15" s="65" customFormat="1" ht="48.6">
      <c r="A20" s="314">
        <v>4</v>
      </c>
      <c r="B20" s="144" t="s">
        <v>106</v>
      </c>
      <c r="C20" s="263" t="s">
        <v>107</v>
      </c>
      <c r="D20" s="315" t="s">
        <v>14</v>
      </c>
      <c r="E20" s="264"/>
      <c r="F20" s="316">
        <v>0.72</v>
      </c>
      <c r="G20" s="264"/>
      <c r="H20" s="265"/>
      <c r="I20" s="264"/>
      <c r="J20" s="265"/>
      <c r="K20" s="264"/>
      <c r="L20" s="265"/>
      <c r="M20" s="266"/>
    </row>
    <row r="21" spans="1:15" s="73" customFormat="1" ht="32.4">
      <c r="A21" s="257"/>
      <c r="B21" s="258"/>
      <c r="C21" s="262" t="s">
        <v>15</v>
      </c>
      <c r="D21" s="260" t="s">
        <v>16</v>
      </c>
      <c r="E21" s="238">
        <f>318/100</f>
        <v>3.18</v>
      </c>
      <c r="F21" s="238">
        <f>F20*E21</f>
        <v>2.2896000000000001</v>
      </c>
      <c r="G21" s="260"/>
      <c r="H21" s="238"/>
      <c r="I21" s="312"/>
      <c r="J21" s="238">
        <f>F21*I21</f>
        <v>0</v>
      </c>
      <c r="K21" s="260"/>
      <c r="L21" s="238"/>
      <c r="M21" s="311">
        <f>H21+J21+L21</f>
        <v>0</v>
      </c>
    </row>
    <row r="22" spans="1:15" s="73" customFormat="1">
      <c r="A22" s="257"/>
      <c r="B22" s="258"/>
      <c r="C22" s="259" t="s">
        <v>21</v>
      </c>
      <c r="D22" s="260" t="s">
        <v>19</v>
      </c>
      <c r="E22" s="238">
        <f>58/100</f>
        <v>0.57999999999999996</v>
      </c>
      <c r="F22" s="238">
        <f>F20*E22</f>
        <v>0.41759999999999997</v>
      </c>
      <c r="G22" s="260"/>
      <c r="H22" s="238"/>
      <c r="I22" s="312"/>
      <c r="J22" s="238"/>
      <c r="K22" s="312"/>
      <c r="L22" s="238">
        <f>K22*F22</f>
        <v>0</v>
      </c>
      <c r="M22" s="311">
        <f>H22+J22+L22</f>
        <v>0</v>
      </c>
    </row>
    <row r="23" spans="1:15" s="73" customFormat="1">
      <c r="A23" s="257"/>
      <c r="B23" s="258"/>
      <c r="C23" s="258" t="s">
        <v>22</v>
      </c>
      <c r="D23" s="260"/>
      <c r="E23" s="260"/>
      <c r="F23" s="238"/>
      <c r="G23" s="260"/>
      <c r="H23" s="238"/>
      <c r="I23" s="260"/>
      <c r="J23" s="238"/>
      <c r="K23" s="260"/>
      <c r="L23" s="238"/>
      <c r="M23" s="311"/>
      <c r="O23" s="313"/>
    </row>
    <row r="24" spans="1:15" s="73" customFormat="1">
      <c r="A24" s="257"/>
      <c r="B24" s="261" t="s">
        <v>108</v>
      </c>
      <c r="C24" s="259" t="s">
        <v>109</v>
      </c>
      <c r="D24" s="260" t="s">
        <v>49</v>
      </c>
      <c r="E24" s="238">
        <f>102/100</f>
        <v>1.02</v>
      </c>
      <c r="F24" s="238">
        <f>E24*F20</f>
        <v>0.73439999999999994</v>
      </c>
      <c r="G24" s="312"/>
      <c r="H24" s="238">
        <f>F24*G24</f>
        <v>0</v>
      </c>
      <c r="I24" s="260"/>
      <c r="J24" s="238"/>
      <c r="K24" s="260"/>
      <c r="L24" s="238"/>
      <c r="M24" s="311">
        <f>H24+J24+L24</f>
        <v>0</v>
      </c>
    </row>
    <row r="25" spans="1:15" s="73" customFormat="1" ht="20.25" customHeight="1">
      <c r="A25" s="29"/>
      <c r="B25" s="195" t="s">
        <v>110</v>
      </c>
      <c r="C25" s="32" t="s">
        <v>111</v>
      </c>
      <c r="D25" s="30" t="s">
        <v>14</v>
      </c>
      <c r="E25" s="30">
        <f>1.6/100</f>
        <v>1.6E-2</v>
      </c>
      <c r="F25" s="196">
        <f>E25*F20</f>
        <v>1.1519999999999999E-2</v>
      </c>
      <c r="G25" s="183"/>
      <c r="H25" s="184">
        <f>G25*F25</f>
        <v>0</v>
      </c>
      <c r="I25" s="30"/>
      <c r="J25" s="184"/>
      <c r="K25" s="30"/>
      <c r="L25" s="184"/>
      <c r="M25" s="185">
        <f>H25+J25+L25</f>
        <v>0</v>
      </c>
    </row>
    <row r="26" spans="1:15" s="73" customFormat="1">
      <c r="A26" s="257"/>
      <c r="B26" s="258"/>
      <c r="C26" s="259" t="s">
        <v>23</v>
      </c>
      <c r="D26" s="260" t="s">
        <v>19</v>
      </c>
      <c r="E26" s="238">
        <f>3.6/100</f>
        <v>3.6000000000000004E-2</v>
      </c>
      <c r="F26" s="238">
        <f>E26*F20</f>
        <v>2.5920000000000002E-2</v>
      </c>
      <c r="G26" s="238"/>
      <c r="H26" s="238">
        <f>F26*G26</f>
        <v>0</v>
      </c>
      <c r="I26" s="260"/>
      <c r="J26" s="238"/>
      <c r="K26" s="260"/>
      <c r="L26" s="238"/>
      <c r="M26" s="311">
        <f>H26+J26+L26</f>
        <v>0</v>
      </c>
    </row>
    <row r="27" spans="1:15" s="73" customFormat="1" ht="48.6">
      <c r="A27" s="303" t="s">
        <v>120</v>
      </c>
      <c r="B27" s="144" t="s">
        <v>92</v>
      </c>
      <c r="C27" s="145" t="s">
        <v>93</v>
      </c>
      <c r="D27" s="304" t="s">
        <v>53</v>
      </c>
      <c r="E27" s="146"/>
      <c r="F27" s="272">
        <v>19.53</v>
      </c>
      <c r="G27" s="146"/>
      <c r="H27" s="267"/>
      <c r="I27" s="146"/>
      <c r="J27" s="267"/>
      <c r="K27" s="146"/>
      <c r="L27" s="267"/>
      <c r="M27" s="268"/>
    </row>
    <row r="28" spans="1:15" s="73" customFormat="1" ht="39.75" customHeight="1">
      <c r="A28" s="301"/>
      <c r="B28" s="33"/>
      <c r="C28" s="32" t="s">
        <v>15</v>
      </c>
      <c r="D28" s="30" t="s">
        <v>16</v>
      </c>
      <c r="E28" s="196">
        <f>33.6/100</f>
        <v>0.33600000000000002</v>
      </c>
      <c r="F28" s="184">
        <f>F27*E28</f>
        <v>6.5620800000000008</v>
      </c>
      <c r="G28" s="30"/>
      <c r="H28" s="184"/>
      <c r="I28" s="183"/>
      <c r="J28" s="184">
        <f>F28*I28</f>
        <v>0</v>
      </c>
      <c r="K28" s="30"/>
      <c r="L28" s="184"/>
      <c r="M28" s="185">
        <f>H28+J28+L28</f>
        <v>0</v>
      </c>
    </row>
    <row r="29" spans="1:15" s="73" customFormat="1" ht="21.75" customHeight="1">
      <c r="A29" s="301"/>
      <c r="B29" s="33"/>
      <c r="C29" s="32" t="s">
        <v>21</v>
      </c>
      <c r="D29" s="30" t="s">
        <v>19</v>
      </c>
      <c r="E29" s="196">
        <f>1.5/100</f>
        <v>1.4999999999999999E-2</v>
      </c>
      <c r="F29" s="184">
        <f>F27*E29</f>
        <v>0.29294999999999999</v>
      </c>
      <c r="G29" s="30"/>
      <c r="H29" s="184"/>
      <c r="I29" s="30"/>
      <c r="J29" s="184"/>
      <c r="K29" s="183"/>
      <c r="L29" s="184">
        <f>F29*K29</f>
        <v>0</v>
      </c>
      <c r="M29" s="185">
        <f>H29+J29+L29</f>
        <v>0</v>
      </c>
    </row>
    <row r="30" spans="1:15" s="73" customFormat="1" ht="21.75" customHeight="1">
      <c r="A30" s="301"/>
      <c r="B30" s="33"/>
      <c r="C30" s="33" t="s">
        <v>22</v>
      </c>
      <c r="D30" s="30"/>
      <c r="E30" s="30"/>
      <c r="F30" s="184"/>
      <c r="G30" s="30"/>
      <c r="H30" s="184"/>
      <c r="I30" s="30"/>
      <c r="J30" s="184"/>
      <c r="K30" s="30"/>
      <c r="L30" s="184"/>
      <c r="M30" s="185"/>
    </row>
    <row r="31" spans="1:15" s="73" customFormat="1" ht="30.75" customHeight="1">
      <c r="A31" s="301"/>
      <c r="B31" s="31" t="s">
        <v>94</v>
      </c>
      <c r="C31" s="32" t="s">
        <v>95</v>
      </c>
      <c r="D31" s="30" t="s">
        <v>20</v>
      </c>
      <c r="E31" s="30">
        <f>0.24/100</f>
        <v>2.3999999999999998E-3</v>
      </c>
      <c r="F31" s="196">
        <f>F27*E31</f>
        <v>4.6871999999999997E-2</v>
      </c>
      <c r="G31" s="183"/>
      <c r="H31" s="184">
        <f>F31*G31</f>
        <v>0</v>
      </c>
      <c r="I31" s="30"/>
      <c r="J31" s="184"/>
      <c r="K31" s="30"/>
      <c r="L31" s="184"/>
      <c r="M31" s="185">
        <f>H31+J31+L31</f>
        <v>0</v>
      </c>
    </row>
    <row r="32" spans="1:15" s="73" customFormat="1" ht="21.75" customHeight="1">
      <c r="A32" s="301"/>
      <c r="B32" s="33"/>
      <c r="C32" s="32" t="s">
        <v>23</v>
      </c>
      <c r="D32" s="30" t="s">
        <v>19</v>
      </c>
      <c r="E32" s="196">
        <f>2.28/100</f>
        <v>2.2799999999999997E-2</v>
      </c>
      <c r="F32" s="184">
        <f>F27*E32</f>
        <v>0.44528399999999996</v>
      </c>
      <c r="G32" s="183"/>
      <c r="H32" s="184">
        <f>G32*F32</f>
        <v>0</v>
      </c>
      <c r="I32" s="30"/>
      <c r="J32" s="184"/>
      <c r="K32" s="30"/>
      <c r="L32" s="184"/>
      <c r="M32" s="185">
        <f>H32+J32+L32</f>
        <v>0</v>
      </c>
    </row>
    <row r="33" spans="1:15" s="222" customFormat="1" ht="81">
      <c r="A33" s="226">
        <v>6</v>
      </c>
      <c r="B33" s="182" t="s">
        <v>57</v>
      </c>
      <c r="C33" s="194" t="s">
        <v>141</v>
      </c>
      <c r="D33" s="141" t="s">
        <v>14</v>
      </c>
      <c r="E33" s="141"/>
      <c r="F33" s="227">
        <v>3.65</v>
      </c>
      <c r="G33" s="141"/>
      <c r="H33" s="227"/>
      <c r="I33" s="141"/>
      <c r="J33" s="227"/>
      <c r="K33" s="141"/>
      <c r="L33" s="227"/>
      <c r="M33" s="191"/>
      <c r="N33" s="220"/>
      <c r="O33" s="221"/>
    </row>
    <row r="34" spans="1:15" s="222" customFormat="1">
      <c r="A34" s="186"/>
      <c r="B34" s="66"/>
      <c r="C34" s="67" t="s">
        <v>58</v>
      </c>
      <c r="D34" s="64" t="s">
        <v>16</v>
      </c>
      <c r="E34" s="188">
        <f>1970/100</f>
        <v>19.7</v>
      </c>
      <c r="F34" s="188">
        <f>E34*F33</f>
        <v>71.905000000000001</v>
      </c>
      <c r="G34" s="64"/>
      <c r="H34" s="188"/>
      <c r="I34" s="192"/>
      <c r="J34" s="188">
        <f>F34*I34</f>
        <v>0</v>
      </c>
      <c r="K34" s="64"/>
      <c r="L34" s="188"/>
      <c r="M34" s="189">
        <f t="shared" ref="M34:M42" si="0">H34+J34+L34</f>
        <v>0</v>
      </c>
      <c r="N34" s="220"/>
      <c r="O34" s="221"/>
    </row>
    <row r="35" spans="1:15" s="222" customFormat="1">
      <c r="A35" s="186"/>
      <c r="B35" s="223"/>
      <c r="C35" s="67" t="s">
        <v>21</v>
      </c>
      <c r="D35" s="64" t="s">
        <v>51</v>
      </c>
      <c r="E35" s="187">
        <f>112/100</f>
        <v>1.1200000000000001</v>
      </c>
      <c r="F35" s="187">
        <f>E35*F33</f>
        <v>4.0880000000000001</v>
      </c>
      <c r="G35" s="64"/>
      <c r="H35" s="188"/>
      <c r="I35" s="64"/>
      <c r="J35" s="188"/>
      <c r="K35" s="192"/>
      <c r="L35" s="188">
        <f>K35*F35</f>
        <v>0</v>
      </c>
      <c r="M35" s="189">
        <f t="shared" si="0"/>
        <v>0</v>
      </c>
      <c r="N35" s="220"/>
      <c r="O35" s="221"/>
    </row>
    <row r="36" spans="1:15" s="222" customFormat="1" ht="27.6">
      <c r="A36" s="186"/>
      <c r="B36" s="224" t="s">
        <v>59</v>
      </c>
      <c r="C36" s="67" t="s">
        <v>142</v>
      </c>
      <c r="D36" s="64" t="s">
        <v>14</v>
      </c>
      <c r="E36" s="64">
        <f>101.5/100</f>
        <v>1.0149999999999999</v>
      </c>
      <c r="F36" s="188">
        <f>E36*F33</f>
        <v>3.7047499999999998</v>
      </c>
      <c r="G36" s="192"/>
      <c r="H36" s="188">
        <f t="shared" ref="H36:H42" si="1">G36*F36</f>
        <v>0</v>
      </c>
      <c r="I36" s="64"/>
      <c r="J36" s="188"/>
      <c r="K36" s="64"/>
      <c r="L36" s="188"/>
      <c r="M36" s="189">
        <f t="shared" si="0"/>
        <v>0</v>
      </c>
      <c r="N36" s="220"/>
      <c r="O36" s="221"/>
    </row>
    <row r="37" spans="1:15" s="105" customFormat="1">
      <c r="A37" s="79"/>
      <c r="B37" s="224" t="s">
        <v>64</v>
      </c>
      <c r="C37" s="228" t="s">
        <v>112</v>
      </c>
      <c r="D37" s="64" t="s">
        <v>20</v>
      </c>
      <c r="E37" s="64"/>
      <c r="F37" s="188">
        <v>0.4</v>
      </c>
      <c r="G37" s="192"/>
      <c r="H37" s="188">
        <f t="shared" si="1"/>
        <v>0</v>
      </c>
      <c r="I37" s="64"/>
      <c r="J37" s="188"/>
      <c r="K37" s="64"/>
      <c r="L37" s="188"/>
      <c r="M37" s="166">
        <f t="shared" si="0"/>
        <v>0</v>
      </c>
    </row>
    <row r="38" spans="1:15" s="105" customFormat="1" ht="18.600000000000001">
      <c r="A38" s="79"/>
      <c r="B38" s="224" t="s">
        <v>52</v>
      </c>
      <c r="C38" s="225" t="s">
        <v>75</v>
      </c>
      <c r="D38" s="64" t="s">
        <v>53</v>
      </c>
      <c r="E38" s="188">
        <f>128/100</f>
        <v>1.28</v>
      </c>
      <c r="F38" s="188">
        <f>E38*F33</f>
        <v>4.6719999999999997</v>
      </c>
      <c r="G38" s="188"/>
      <c r="H38" s="188">
        <f t="shared" si="1"/>
        <v>0</v>
      </c>
      <c r="I38" s="188"/>
      <c r="J38" s="188"/>
      <c r="K38" s="64"/>
      <c r="L38" s="188"/>
      <c r="M38" s="166">
        <f t="shared" si="0"/>
        <v>0</v>
      </c>
    </row>
    <row r="39" spans="1:15" s="222" customFormat="1" ht="32.4">
      <c r="A39" s="186"/>
      <c r="B39" s="224" t="s">
        <v>60</v>
      </c>
      <c r="C39" s="225" t="s">
        <v>61</v>
      </c>
      <c r="D39" s="64" t="s">
        <v>14</v>
      </c>
      <c r="E39" s="193">
        <f>16.8/100</f>
        <v>0.16800000000000001</v>
      </c>
      <c r="F39" s="187">
        <f>E39*F33</f>
        <v>0.61320000000000008</v>
      </c>
      <c r="G39" s="192"/>
      <c r="H39" s="188">
        <f t="shared" si="1"/>
        <v>0</v>
      </c>
      <c r="I39" s="188"/>
      <c r="J39" s="188"/>
      <c r="K39" s="64"/>
      <c r="L39" s="188"/>
      <c r="M39" s="189">
        <f t="shared" si="0"/>
        <v>0</v>
      </c>
      <c r="N39" s="220"/>
      <c r="O39" s="221"/>
    </row>
    <row r="40" spans="1:15" s="222" customFormat="1" ht="27.6">
      <c r="A40" s="186"/>
      <c r="B40" s="224" t="s">
        <v>62</v>
      </c>
      <c r="C40" s="225" t="s">
        <v>63</v>
      </c>
      <c r="D40" s="64" t="s">
        <v>14</v>
      </c>
      <c r="E40" s="187">
        <f>12.7/100</f>
        <v>0.127</v>
      </c>
      <c r="F40" s="187">
        <f>E40*F33</f>
        <v>0.46355000000000002</v>
      </c>
      <c r="G40" s="192"/>
      <c r="H40" s="188">
        <f t="shared" si="1"/>
        <v>0</v>
      </c>
      <c r="I40" s="188"/>
      <c r="J40" s="188"/>
      <c r="K40" s="64"/>
      <c r="L40" s="188"/>
      <c r="M40" s="189">
        <f t="shared" si="0"/>
        <v>0</v>
      </c>
      <c r="N40" s="220"/>
      <c r="O40" s="221"/>
    </row>
    <row r="41" spans="1:15" s="73" customFormat="1">
      <c r="A41" s="301"/>
      <c r="B41" s="300"/>
      <c r="C41" s="302" t="s">
        <v>144</v>
      </c>
      <c r="D41" s="30" t="s">
        <v>38</v>
      </c>
      <c r="E41" s="30"/>
      <c r="F41" s="183">
        <v>1</v>
      </c>
      <c r="G41" s="192"/>
      <c r="H41" s="183">
        <f>F41*G41</f>
        <v>0</v>
      </c>
      <c r="I41" s="183"/>
      <c r="J41" s="183"/>
      <c r="K41" s="183"/>
      <c r="L41" s="183"/>
      <c r="M41" s="190">
        <f t="shared" si="0"/>
        <v>0</v>
      </c>
    </row>
    <row r="42" spans="1:15" s="222" customFormat="1">
      <c r="A42" s="186"/>
      <c r="B42" s="63"/>
      <c r="C42" s="67" t="s">
        <v>23</v>
      </c>
      <c r="D42" s="64" t="s">
        <v>19</v>
      </c>
      <c r="E42" s="188">
        <f>180/100</f>
        <v>1.8</v>
      </c>
      <c r="F42" s="188">
        <f>E42*F33</f>
        <v>6.57</v>
      </c>
      <c r="G42" s="192"/>
      <c r="H42" s="188">
        <f t="shared" si="1"/>
        <v>0</v>
      </c>
      <c r="I42" s="188"/>
      <c r="J42" s="188"/>
      <c r="K42" s="64"/>
      <c r="L42" s="188"/>
      <c r="M42" s="189">
        <f t="shared" si="0"/>
        <v>0</v>
      </c>
      <c r="N42" s="220"/>
      <c r="O42" s="221"/>
    </row>
    <row r="43" spans="1:15" s="73" customFormat="1" ht="42" customHeight="1">
      <c r="A43" s="318" t="s">
        <v>145</v>
      </c>
      <c r="B43" s="319" t="s">
        <v>97</v>
      </c>
      <c r="C43" s="320" t="s">
        <v>143</v>
      </c>
      <c r="D43" s="321" t="s">
        <v>98</v>
      </c>
      <c r="E43" s="321"/>
      <c r="F43" s="322">
        <v>1</v>
      </c>
      <c r="G43" s="321"/>
      <c r="H43" s="323"/>
      <c r="I43" s="321"/>
      <c r="J43" s="323"/>
      <c r="K43" s="321"/>
      <c r="L43" s="323"/>
      <c r="M43" s="324"/>
    </row>
    <row r="44" spans="1:15" s="73" customFormat="1" ht="39" customHeight="1">
      <c r="A44" s="301"/>
      <c r="B44" s="31"/>
      <c r="C44" s="32" t="s">
        <v>15</v>
      </c>
      <c r="D44" s="30" t="s">
        <v>16</v>
      </c>
      <c r="E44" s="184">
        <v>16.8</v>
      </c>
      <c r="F44" s="184">
        <f>F43*E44</f>
        <v>16.8</v>
      </c>
      <c r="G44" s="30"/>
      <c r="H44" s="184"/>
      <c r="I44" s="183"/>
      <c r="J44" s="184">
        <f>F44*I44</f>
        <v>0</v>
      </c>
      <c r="K44" s="30"/>
      <c r="L44" s="184"/>
      <c r="M44" s="185">
        <f>H44+J44+L44</f>
        <v>0</v>
      </c>
    </row>
    <row r="45" spans="1:15" s="73" customFormat="1" ht="21.75" customHeight="1">
      <c r="A45" s="301"/>
      <c r="B45" s="31"/>
      <c r="C45" s="33" t="s">
        <v>22</v>
      </c>
      <c r="D45" s="30"/>
      <c r="E45" s="30"/>
      <c r="F45" s="184"/>
      <c r="G45" s="30"/>
      <c r="H45" s="184"/>
      <c r="I45" s="30"/>
      <c r="J45" s="184"/>
      <c r="K45" s="30"/>
      <c r="L45" s="184"/>
      <c r="M45" s="185"/>
    </row>
    <row r="46" spans="1:15" s="65" customFormat="1" ht="30.75" customHeight="1">
      <c r="A46" s="317"/>
      <c r="B46" s="31" t="s">
        <v>99</v>
      </c>
      <c r="C46" s="298" t="s">
        <v>100</v>
      </c>
      <c r="D46" s="299" t="s">
        <v>49</v>
      </c>
      <c r="E46" s="64">
        <v>0.05</v>
      </c>
      <c r="F46" s="188">
        <f>E46*F43</f>
        <v>0.05</v>
      </c>
      <c r="G46" s="184"/>
      <c r="H46" s="188">
        <f t="shared" ref="H46" si="2">F46*G46</f>
        <v>0</v>
      </c>
      <c r="I46" s="64"/>
      <c r="J46" s="188"/>
      <c r="K46" s="64"/>
      <c r="L46" s="188"/>
      <c r="M46" s="185">
        <f t="shared" ref="M46:M47" si="3">H46+J46+L46</f>
        <v>0</v>
      </c>
    </row>
    <row r="47" spans="1:15" s="65" customFormat="1" ht="40.5" customHeight="1">
      <c r="A47" s="317"/>
      <c r="B47" s="31" t="s">
        <v>101</v>
      </c>
      <c r="C47" s="298" t="s">
        <v>102</v>
      </c>
      <c r="D47" s="299" t="s">
        <v>54</v>
      </c>
      <c r="E47" s="192">
        <f>1.25*8</f>
        <v>10</v>
      </c>
      <c r="F47" s="188">
        <f>F46*E47</f>
        <v>0.5</v>
      </c>
      <c r="G47" s="184"/>
      <c r="H47" s="188">
        <f>G47*F47</f>
        <v>0</v>
      </c>
      <c r="I47" s="64"/>
      <c r="J47" s="188"/>
      <c r="K47" s="64"/>
      <c r="L47" s="188"/>
      <c r="M47" s="185">
        <f t="shared" si="3"/>
        <v>0</v>
      </c>
    </row>
    <row r="48" spans="1:15" s="73" customFormat="1" ht="21.75" customHeight="1">
      <c r="A48" s="301"/>
      <c r="B48" s="31"/>
      <c r="C48" s="32" t="s">
        <v>23</v>
      </c>
      <c r="D48" s="30" t="s">
        <v>19</v>
      </c>
      <c r="E48" s="184">
        <v>1.07</v>
      </c>
      <c r="F48" s="184">
        <f>F43*E48</f>
        <v>1.07</v>
      </c>
      <c r="G48" s="183"/>
      <c r="H48" s="184">
        <f>G48*F48</f>
        <v>0</v>
      </c>
      <c r="I48" s="30"/>
      <c r="J48" s="184"/>
      <c r="K48" s="30"/>
      <c r="L48" s="184"/>
      <c r="M48" s="185">
        <f>H48+J48+L48</f>
        <v>0</v>
      </c>
    </row>
    <row r="49" spans="1:15" s="73" customFormat="1" ht="38.25" customHeight="1">
      <c r="A49" s="147">
        <v>8</v>
      </c>
      <c r="B49" s="144" t="s">
        <v>42</v>
      </c>
      <c r="C49" s="145" t="s">
        <v>146</v>
      </c>
      <c r="D49" s="146" t="s">
        <v>20</v>
      </c>
      <c r="E49" s="146"/>
      <c r="F49" s="150">
        <f>25.5*1/1000</f>
        <v>2.5499999999999998E-2</v>
      </c>
      <c r="G49" s="146"/>
      <c r="H49" s="267"/>
      <c r="I49" s="146"/>
      <c r="J49" s="267"/>
      <c r="K49" s="146"/>
      <c r="L49" s="267"/>
      <c r="M49" s="268"/>
    </row>
    <row r="50" spans="1:15" s="73" customFormat="1" ht="36" customHeight="1">
      <c r="A50" s="29"/>
      <c r="B50" s="33"/>
      <c r="C50" s="32" t="s">
        <v>15</v>
      </c>
      <c r="D50" s="30" t="s">
        <v>16</v>
      </c>
      <c r="E50" s="184">
        <v>305</v>
      </c>
      <c r="F50" s="184">
        <f>E50*F49</f>
        <v>7.7774999999999999</v>
      </c>
      <c r="G50" s="30"/>
      <c r="H50" s="184"/>
      <c r="I50" s="183"/>
      <c r="J50" s="184">
        <f>F50*I50</f>
        <v>0</v>
      </c>
      <c r="K50" s="30"/>
      <c r="L50" s="184"/>
      <c r="M50" s="185">
        <f>H50+J50+L50</f>
        <v>0</v>
      </c>
    </row>
    <row r="51" spans="1:15" s="73" customFormat="1">
      <c r="A51" s="29"/>
      <c r="B51" s="33"/>
      <c r="C51" s="32" t="s">
        <v>21</v>
      </c>
      <c r="D51" s="30" t="s">
        <v>19</v>
      </c>
      <c r="E51" s="184">
        <v>162</v>
      </c>
      <c r="F51" s="184">
        <f>E51*F49</f>
        <v>4.1309999999999993</v>
      </c>
      <c r="G51" s="30"/>
      <c r="H51" s="184"/>
      <c r="I51" s="30"/>
      <c r="J51" s="184"/>
      <c r="K51" s="297"/>
      <c r="L51" s="184">
        <f>F51*K51</f>
        <v>0</v>
      </c>
      <c r="M51" s="185">
        <f>H51+J51+L51</f>
        <v>0</v>
      </c>
    </row>
    <row r="52" spans="1:15" s="73" customFormat="1">
      <c r="A52" s="29"/>
      <c r="B52" s="33"/>
      <c r="C52" s="33" t="s">
        <v>22</v>
      </c>
      <c r="D52" s="30"/>
      <c r="E52" s="30"/>
      <c r="F52" s="184"/>
      <c r="G52" s="30"/>
      <c r="H52" s="184"/>
      <c r="I52" s="30"/>
      <c r="J52" s="184"/>
      <c r="K52" s="30"/>
      <c r="L52" s="184"/>
      <c r="M52" s="185"/>
    </row>
    <row r="53" spans="1:15" s="73" customFormat="1">
      <c r="A53" s="29"/>
      <c r="B53" s="306"/>
      <c r="C53" s="32" t="s">
        <v>96</v>
      </c>
      <c r="D53" s="30" t="s">
        <v>38</v>
      </c>
      <c r="E53" s="30"/>
      <c r="F53" s="184">
        <v>1</v>
      </c>
      <c r="G53" s="184"/>
      <c r="H53" s="184">
        <f>F53*G53</f>
        <v>0</v>
      </c>
      <c r="I53" s="30"/>
      <c r="J53" s="184"/>
      <c r="K53" s="30"/>
      <c r="L53" s="184"/>
      <c r="M53" s="185">
        <f>H53+J53+L53</f>
        <v>0</v>
      </c>
    </row>
    <row r="54" spans="1:15" s="73" customFormat="1" ht="24.75" customHeight="1">
      <c r="A54" s="29"/>
      <c r="B54" s="33"/>
      <c r="C54" s="32" t="s">
        <v>23</v>
      </c>
      <c r="D54" s="30" t="s">
        <v>19</v>
      </c>
      <c r="E54" s="184">
        <v>49.2</v>
      </c>
      <c r="F54" s="184">
        <f>E54*F49</f>
        <v>1.2545999999999999</v>
      </c>
      <c r="G54" s="297"/>
      <c r="H54" s="184">
        <f>F54*G54</f>
        <v>0</v>
      </c>
      <c r="I54" s="30"/>
      <c r="J54" s="184"/>
      <c r="K54" s="30"/>
      <c r="L54" s="184"/>
      <c r="M54" s="185">
        <f>H54+J54+L54</f>
        <v>0</v>
      </c>
    </row>
    <row r="55" spans="1:15" s="174" customFormat="1" ht="64.8">
      <c r="A55" s="256" t="s">
        <v>113</v>
      </c>
      <c r="B55" s="235" t="s">
        <v>76</v>
      </c>
      <c r="C55" s="236" t="s">
        <v>78</v>
      </c>
      <c r="D55" s="170" t="s">
        <v>14</v>
      </c>
      <c r="E55" s="170"/>
      <c r="F55" s="164">
        <v>2</v>
      </c>
      <c r="G55" s="170"/>
      <c r="H55" s="171"/>
      <c r="I55" s="170"/>
      <c r="J55" s="171"/>
      <c r="K55" s="170"/>
      <c r="L55" s="171"/>
      <c r="M55" s="172"/>
    </row>
    <row r="56" spans="1:15" s="174" customFormat="1" ht="36" customHeight="1">
      <c r="A56" s="245"/>
      <c r="B56" s="176"/>
      <c r="C56" s="177" t="s">
        <v>15</v>
      </c>
      <c r="D56" s="178" t="s">
        <v>16</v>
      </c>
      <c r="E56" s="179">
        <f>20/1000</f>
        <v>0.02</v>
      </c>
      <c r="F56" s="179">
        <f>F55*E56</f>
        <v>0.04</v>
      </c>
      <c r="G56" s="178"/>
      <c r="H56" s="179"/>
      <c r="I56" s="180"/>
      <c r="J56" s="179">
        <f>F56*I56</f>
        <v>0</v>
      </c>
      <c r="K56" s="178"/>
      <c r="L56" s="179"/>
      <c r="M56" s="181">
        <f>H56+J56+L56</f>
        <v>0</v>
      </c>
    </row>
    <row r="57" spans="1:15" s="174" customFormat="1" ht="34.5" customHeight="1">
      <c r="A57" s="245"/>
      <c r="B57" s="231" t="s">
        <v>67</v>
      </c>
      <c r="C57" s="177" t="s">
        <v>68</v>
      </c>
      <c r="D57" s="178" t="s">
        <v>17</v>
      </c>
      <c r="E57" s="232">
        <f>44.8/1000</f>
        <v>4.48E-2</v>
      </c>
      <c r="F57" s="179">
        <f>F55*E57</f>
        <v>8.9599999999999999E-2</v>
      </c>
      <c r="G57" s="178"/>
      <c r="H57" s="179"/>
      <c r="I57" s="179"/>
      <c r="J57" s="179"/>
      <c r="K57" s="233"/>
      <c r="L57" s="179">
        <f>F57*K57</f>
        <v>0</v>
      </c>
      <c r="M57" s="181">
        <f>H57+J57+L57</f>
        <v>0</v>
      </c>
    </row>
    <row r="58" spans="1:15" s="174" customFormat="1" ht="22.5" customHeight="1">
      <c r="A58" s="245"/>
      <c r="B58" s="176"/>
      <c r="C58" s="177" t="s">
        <v>18</v>
      </c>
      <c r="D58" s="178" t="s">
        <v>19</v>
      </c>
      <c r="E58" s="246">
        <f>2.21/1000</f>
        <v>2.2100000000000002E-3</v>
      </c>
      <c r="F58" s="230">
        <f>E58*F55</f>
        <v>4.4200000000000003E-3</v>
      </c>
      <c r="G58" s="178"/>
      <c r="H58" s="179"/>
      <c r="I58" s="178"/>
      <c r="J58" s="179"/>
      <c r="K58" s="180"/>
      <c r="L58" s="179">
        <f>K58*F58</f>
        <v>0</v>
      </c>
      <c r="M58" s="181">
        <f>H58+J58+L58</f>
        <v>0</v>
      </c>
    </row>
    <row r="59" spans="1:15" s="174" customFormat="1" ht="22.5" customHeight="1" thickBot="1">
      <c r="A59" s="247"/>
      <c r="B59" s="248"/>
      <c r="C59" s="249" t="s">
        <v>77</v>
      </c>
      <c r="D59" s="250" t="s">
        <v>49</v>
      </c>
      <c r="E59" s="251">
        <f>0.05/1000</f>
        <v>5.0000000000000002E-5</v>
      </c>
      <c r="F59" s="252">
        <f>F55*E59</f>
        <v>1E-4</v>
      </c>
      <c r="G59" s="250"/>
      <c r="H59" s="253">
        <f>F59*G59</f>
        <v>0</v>
      </c>
      <c r="I59" s="250"/>
      <c r="J59" s="253"/>
      <c r="K59" s="254"/>
      <c r="L59" s="253"/>
      <c r="M59" s="255">
        <f>H59</f>
        <v>0</v>
      </c>
    </row>
    <row r="60" spans="1:15" s="154" customFormat="1" ht="24.75" customHeight="1" thickBot="1">
      <c r="A60" s="197"/>
      <c r="B60" s="198"/>
      <c r="C60" s="199" t="s">
        <v>55</v>
      </c>
      <c r="D60" s="161"/>
      <c r="E60" s="161"/>
      <c r="F60" s="200"/>
      <c r="G60" s="161"/>
      <c r="H60" s="201">
        <f>SUM(H8:H59)</f>
        <v>0</v>
      </c>
      <c r="I60" s="161"/>
      <c r="J60" s="201">
        <f>SUM(J8:J59)</f>
        <v>0</v>
      </c>
      <c r="K60" s="161"/>
      <c r="L60" s="201">
        <f>SUM(L8:L59)</f>
        <v>0</v>
      </c>
      <c r="M60" s="202">
        <f>SUM(M8:M59)</f>
        <v>0</v>
      </c>
      <c r="N60" s="153"/>
      <c r="O60" s="153"/>
    </row>
    <row r="61" spans="1:15" s="212" customFormat="1" ht="26.25" customHeight="1" thickBot="1">
      <c r="A61" s="203"/>
      <c r="B61" s="204"/>
      <c r="C61" s="205" t="s">
        <v>56</v>
      </c>
      <c r="D61" s="206"/>
      <c r="E61" s="206">
        <v>0.05</v>
      </c>
      <c r="F61" s="207"/>
      <c r="G61" s="208"/>
      <c r="H61" s="209">
        <f>H60*E61</f>
        <v>0</v>
      </c>
      <c r="I61" s="207"/>
      <c r="J61" s="207"/>
      <c r="K61" s="207"/>
      <c r="L61" s="207"/>
      <c r="M61" s="210">
        <f>H61</f>
        <v>0</v>
      </c>
      <c r="N61" s="211"/>
      <c r="O61" s="211"/>
    </row>
    <row r="62" spans="1:15" s="212" customFormat="1" ht="22.5" customHeight="1" thickBot="1">
      <c r="A62" s="213"/>
      <c r="B62" s="214"/>
      <c r="C62" s="215" t="s">
        <v>55</v>
      </c>
      <c r="D62" s="216"/>
      <c r="E62" s="216"/>
      <c r="F62" s="217"/>
      <c r="G62" s="218"/>
      <c r="H62" s="217"/>
      <c r="I62" s="217"/>
      <c r="J62" s="217"/>
      <c r="K62" s="217"/>
      <c r="L62" s="217"/>
      <c r="M62" s="219">
        <f>M60+M61</f>
        <v>0</v>
      </c>
      <c r="N62" s="211"/>
      <c r="O62" s="211"/>
    </row>
  </sheetData>
  <mergeCells count="11">
    <mergeCell ref="A1:M2"/>
    <mergeCell ref="A3:M3"/>
    <mergeCell ref="K5:L5"/>
    <mergeCell ref="A5:A6"/>
    <mergeCell ref="B5:B6"/>
    <mergeCell ref="C5:C6"/>
    <mergeCell ref="D5:D6"/>
    <mergeCell ref="E5:E6"/>
    <mergeCell ref="F5:F6"/>
    <mergeCell ref="G5:H5"/>
    <mergeCell ref="I5:J5"/>
  </mergeCells>
  <pageMargins left="0.7" right="0.7" top="0.75" bottom="0.75" header="0.3" footer="0.3"/>
  <pageSetup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ნაკრები</vt:lpstr>
      <vt:lpstr>N1-1 insp_ტექნოლოგიური ნაწილი</vt:lpstr>
      <vt:lpstr>N1-2_რკინა-ბეტონის სამუშაოები</vt:lpstr>
      <vt:lpstr>ნაკრები!Print_Area</vt:lpstr>
      <vt:lpstr>ნაკრები!Print_Titles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2022-05-03T13:58:35Z</dcterms:modified>
</cp:coreProperties>
</file>